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hUJ8l7tjwsHXct/uILkhm3NquCcqYb+O78kwypmcq+jqaGEJLW71wKCUYiF+wWoplUGts5FxkRpsx1WPtj8ZPA==" workbookSaltValue="GNcZ6pnV5PrfW8Qv21Ua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L17" i="14" l="1"/>
  <c r="BF17" i="8"/>
  <c r="F14" i="7"/>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X32" i="20"/>
  <c r="AA32" i="20"/>
  <c r="AN32" i="20"/>
  <c r="AD32" i="20"/>
  <c r="AC32" i="20"/>
  <c r="AV32" i="20"/>
  <c r="O10" i="11"/>
  <c r="AP32" i="20"/>
  <c r="U17" i="11"/>
  <c r="W32" i="21"/>
  <c r="AQ32" i="20"/>
  <c r="AL32" i="20"/>
  <c r="T32" i="20"/>
  <c r="K17" i="12" l="1"/>
  <c r="I10" i="12"/>
  <c r="K9" i="12"/>
  <c r="I16" i="12"/>
  <c r="BF23" i="13"/>
  <c r="BL9" i="11"/>
  <c r="BH21" i="16"/>
  <c r="BF11" i="11"/>
  <c r="X12" i="21"/>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L20" i="2"/>
  <c r="U9" i="17"/>
  <c r="U31" i="17" s="1"/>
  <c r="V9" i="16"/>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V10" i="16"/>
  <c r="X13" i="16"/>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R14" i="21" l="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<sst xmlns="http://schemas.openxmlformats.org/spreadsheetml/2006/main" count="2654" uniqueCount="1184">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</sst>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c8ekv2hsMFYdOhfYB4R/YKbqS+mA+f9kTDShCtEfIstlHD5ICoDg+523XoPDFncwgSCgpLWLuZoqR+8MAn/CQ==" saltValue="FAe9H1cSzNbmU1hHFh8J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13.613333333333333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34</v>
      </c>
      <c r="F10" s="240">
        <f>IF(ISNUMBER(Datos!K10),Datos!K10," - ")</f>
        <v>36</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-0.05</v>
      </c>
      <c r="L10" s="1402">
        <f>IF(ISNUMBER(NºAsuntos!I10/NºAsuntos!G10),(NºAsuntos!I10/NºAsuntos!G10)*11," - ")</f>
        <v>11.611111111111111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11.035947712418301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34</v>
      </c>
      <c r="F14" s="1409">
        <f>SUBTOTAL(9,F9:F13)</f>
        <v>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2539</v>
      </c>
      <c r="D16" s="239">
        <f>IF(ISNUMBER(IF(D_I="SI",Datos!I16,Datos!I16+Datos!AC16)),IF(D_I="SI",Datos!I16,Datos!I16+Datos!AC16)," - ")</f>
        <v>2516</v>
      </c>
      <c r="E16" s="240">
        <f>IF(ISNUMBER(IF(D_I="SI",Datos!J16,Datos!J16+Datos!AD16)),IF(D_I="SI",Datos!J16,Datos!J16+Datos!AD16)," - ")</f>
        <v>3239</v>
      </c>
      <c r="F16" s="240">
        <f>IF(ISNUMBER(IF(D_I="SI",Datos!K16,Datos!K16+Datos!AE16)),IF(D_I="SI",Datos!K16,Datos!K16+Datos!AE16)," - ")</f>
        <v>3136</v>
      </c>
      <c r="G16" s="1390" t="str">
        <f>IF(Datos!E16&lt;&gt;"",Datos!E16,Datos!D16)</f>
        <v>03</v>
      </c>
      <c r="H16" s="241">
        <f>IF(ISNUMBER(IF(D_I="SI",Datos!L16,Datos!L16+Datos!AF16)),IF(D_I="SI",Datos!L16,Datos!L16+Datos!AF16)," - ")</f>
        <v>2642</v>
      </c>
      <c r="I16" s="1400" t="str">
        <f>IF(ISNUMBER(Datos!AS16/Datos!BM16),Datos!AS16/Datos!BM16," - ")</f>
        <v xml:space="preserve"> - </v>
      </c>
      <c r="J16" s="1401">
        <f>IF(ISNUMBER(Datos!BY16/Datos!CN16),Datos!BY16/Datos!CN16," - ")</f>
        <v>0</v>
      </c>
      <c r="K16" s="244">
        <f t="shared" ref="K16:K22" si="3">IF(ISNUMBER((E16-F16)/C16),(E16-F16)/C16," - ")</f>
        <v>4.0567152422213468E-2</v>
      </c>
      <c r="L16" s="1402">
        <f>IF(ISNUMBER(NºAsuntos!I16/NºAsuntos!G16),(NºAsuntos!I16/NºAsuntos!G16)*11," - ")</f>
        <v>9.2672193877551017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117</v>
      </c>
      <c r="D18" s="239">
        <f>IF(ISNUMBER(IF(D_I="SI",Datos!I18,Datos!I18+Datos!AC18)),IF(D_I="SI",Datos!I18,Datos!I18+Datos!AC18)," - ")</f>
        <v>117</v>
      </c>
      <c r="E18" s="240">
        <f>IF(ISNUMBER(IF(D_I="SI",Datos!J18,Datos!J18+Datos!AD18)),IF(D_I="SI",Datos!J18,Datos!J18+Datos!AD18)," - ")</f>
        <v>273</v>
      </c>
      <c r="F18" s="240">
        <f>IF(ISNUMBER(IF(D_I="SI",Datos!K18,Datos!K18+Datos!AE18)),IF(D_I="SI",Datos!K18,Datos!K18+Datos!AE18)," - ")</f>
        <v>302</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-0.24786324786324787</v>
      </c>
      <c r="L18" s="1402">
        <f>IF(ISNUMBER(NºAsuntos!I18/NºAsuntos!G18),(NºAsuntos!I18/NºAsuntos!G18)*11," - ")</f>
        <v>3.2052980132450331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2658</v>
      </c>
      <c r="D23" s="1407">
        <f>SUBTOTAL(9,D16:D22)</f>
        <v>2635</v>
      </c>
      <c r="E23" s="1408">
        <f>SUBTOTAL(9,E16:E22)</f>
        <v>3512</v>
      </c>
      <c r="F23" s="1408">
        <f>SUBTOTAL(9,F16:F22)</f>
        <v>3438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2698</v>
      </c>
      <c r="D31" s="1435">
        <f>SUBTOTAL(9,D9:D30)</f>
        <v>2675</v>
      </c>
      <c r="E31" s="1436">
        <f>SUBTOTAL(9,E9:E30)</f>
        <v>3546</v>
      </c>
      <c r="F31" s="1436">
        <f>SUBTOTAL(9,F9:F30)</f>
        <v>3474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FXsO0ZFaqa3fE7mgUsVYGqFksPLQTFUIT29js5fTMNn+7YPxdgkuCoRtXuUZFFvQCsf49Yx6lvlMXfwr3gcLQA==" saltValue="rw7F9pbIpT8+5sxVxAq+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Nj9jNkXjxZn/+2ifsEl7c8R1bGWjcESAFBxwi9ZitAGTV3msiZ2lPfjWaGVaVjUNDyT4OpRFMYRtmLN4IeZIQ==" saltValue="QmnXA41+EWAsDRDmvrAI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4184</v>
      </c>
      <c r="J9" s="194">
        <v>2745</v>
      </c>
      <c r="K9" s="194">
        <v>3195</v>
      </c>
      <c r="L9" s="194">
        <v>3995</v>
      </c>
      <c r="M9" s="194">
        <v>1004</v>
      </c>
      <c r="N9" s="194">
        <v>1442</v>
      </c>
      <c r="O9" s="194">
        <v>1344</v>
      </c>
      <c r="P9" s="194">
        <v>690</v>
      </c>
      <c r="Q9" s="194">
        <v>724</v>
      </c>
      <c r="R9" s="194">
        <v>3439</v>
      </c>
      <c r="S9" s="194">
        <v>3441</v>
      </c>
      <c r="T9" s="194">
        <v>2662</v>
      </c>
      <c r="U9" s="194">
        <v>2581</v>
      </c>
      <c r="V9" s="194">
        <v>3522</v>
      </c>
      <c r="W9" s="194">
        <v>709</v>
      </c>
      <c r="X9" s="201">
        <v>1195</v>
      </c>
      <c r="Y9" s="204">
        <v>83</v>
      </c>
      <c r="Z9" s="194">
        <v>110</v>
      </c>
      <c r="AA9" s="194">
        <v>105</v>
      </c>
      <c r="AB9" s="194">
        <v>89</v>
      </c>
      <c r="AC9" s="194">
        <v>0</v>
      </c>
      <c r="AD9" s="194">
        <v>0</v>
      </c>
      <c r="AE9" s="194">
        <v>0</v>
      </c>
      <c r="AF9" s="201">
        <v>0</v>
      </c>
      <c r="AG9" s="204">
        <v>109</v>
      </c>
      <c r="AH9" s="194">
        <v>139</v>
      </c>
      <c r="AI9" s="194">
        <v>128</v>
      </c>
      <c r="AJ9" s="205">
        <v>120</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3550</v>
      </c>
      <c r="AZ9" s="133">
        <f>IF(ISNUMBER(IF(J_V="SI",T9,T9+AH9)),IF(J_V="SI",T9,T9+AH9)," - ")</f>
        <v>2801</v>
      </c>
      <c r="BA9" s="134">
        <f>IF(ISNUMBER(IF(J_V="SI",U9,U9+AI9)),IF(J_V="SI",U9,U9+AI9)," - ")</f>
        <v>2709</v>
      </c>
      <c r="BB9" s="134">
        <f>IF(ISNUMBER(IF(J_V="SI",V9,V9+AJ9)),IF(J_V="SI",V9,V9+AJ9)," - ")</f>
        <v>3642</v>
      </c>
      <c r="BC9" s="135">
        <f>IF(ISNUMBER(X9),X9," - ")</f>
        <v>1195</v>
      </c>
      <c r="BD9" s="136">
        <f>IF(ISNUMBER(BA9/AZ9),BA9/AZ9," - ")</f>
        <v>0.9671545876472688</v>
      </c>
      <c r="BE9" s="137">
        <f>IF(ISNUMBER(BB9/BA9),BB9/BA9, " - ")</f>
        <v>1.3444075304540422</v>
      </c>
      <c r="BF9" s="137">
        <f>IF(ISNUMBER(BC9/BA9),BC9/BA9, " - ")</f>
        <v>0.44112218530823183</v>
      </c>
      <c r="BG9" s="209">
        <f>IF(ISNUMBER((AY9+AZ9)/BA9),(AY9+AZ9)/BA9," - ")</f>
        <v>2.3444075304540419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34</v>
      </c>
      <c r="K10" s="194">
        <v>36</v>
      </c>
      <c r="L10" s="194">
        <v>38</v>
      </c>
      <c r="M10" s="194">
        <v>12</v>
      </c>
      <c r="N10" s="194">
        <v>19</v>
      </c>
      <c r="O10" s="194">
        <v>7</v>
      </c>
      <c r="P10" s="194">
        <v>5</v>
      </c>
      <c r="Q10" s="194">
        <v>6</v>
      </c>
      <c r="R10" s="194">
        <v>89</v>
      </c>
      <c r="S10" s="194">
        <v>66</v>
      </c>
      <c r="T10" s="194">
        <v>23</v>
      </c>
      <c r="U10" s="194">
        <v>57</v>
      </c>
      <c r="V10" s="194">
        <v>32</v>
      </c>
      <c r="W10" s="194">
        <v>21</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66</v>
      </c>
      <c r="AZ10" s="139">
        <f t="shared" si="0"/>
        <v>23</v>
      </c>
      <c r="BA10" s="139">
        <f t="shared" si="0"/>
        <v>57</v>
      </c>
      <c r="BB10" s="139">
        <f t="shared" si="0"/>
        <v>32</v>
      </c>
      <c r="BC10" s="135">
        <f t="shared" si="0"/>
        <v>21</v>
      </c>
      <c r="BD10" s="136">
        <f>IF(ISNUMBER(BA10/AZ10),BA10/AZ10," - ")</f>
        <v>2.4782608695652173</v>
      </c>
      <c r="BE10" s="137">
        <f>IF(ISNUMBER(BB10/BA10),BB10/BA10, " - ")</f>
        <v>0.56140350877192979</v>
      </c>
      <c r="BF10" s="137">
        <f>IF(ISNUMBER(BC10/BA10),BC10/BA10, " - ")</f>
        <v>0.36842105263157893</v>
      </c>
      <c r="BG10" s="209">
        <f>IF(ISNUMBER((AY10+AZ10)/BA10),(AY10+AZ10)/BA10," - ")</f>
        <v>1.5614035087719298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457</v>
      </c>
      <c r="J11" s="196">
        <v>392</v>
      </c>
      <c r="K11" s="196">
        <v>391</v>
      </c>
      <c r="L11" s="196">
        <v>458</v>
      </c>
      <c r="M11" s="196">
        <v>162</v>
      </c>
      <c r="N11" s="196">
        <v>534</v>
      </c>
      <c r="O11" s="194">
        <v>134</v>
      </c>
      <c r="P11" s="196">
        <v>35</v>
      </c>
      <c r="Q11" s="196">
        <v>69</v>
      </c>
      <c r="R11" s="196">
        <v>537</v>
      </c>
      <c r="S11" s="196">
        <v>502</v>
      </c>
      <c r="T11" s="196">
        <v>402</v>
      </c>
      <c r="U11" s="196">
        <v>471</v>
      </c>
      <c r="V11" s="196">
        <v>433</v>
      </c>
      <c r="W11" s="196">
        <v>221</v>
      </c>
      <c r="X11" s="202">
        <v>368</v>
      </c>
      <c r="Y11" s="204">
        <v>187</v>
      </c>
      <c r="Z11" s="194">
        <v>190</v>
      </c>
      <c r="AA11" s="194">
        <v>221</v>
      </c>
      <c r="AB11" s="194">
        <v>156</v>
      </c>
      <c r="AC11" s="196">
        <v>0</v>
      </c>
      <c r="AD11" s="196">
        <v>0</v>
      </c>
      <c r="AE11" s="196">
        <v>0</v>
      </c>
      <c r="AF11" s="202">
        <v>0</v>
      </c>
      <c r="AG11" s="215">
        <v>165</v>
      </c>
      <c r="AH11" s="196">
        <v>251</v>
      </c>
      <c r="AI11" s="196">
        <v>247</v>
      </c>
      <c r="AJ11" s="216">
        <v>169</v>
      </c>
      <c r="AK11" s="195">
        <v>0</v>
      </c>
      <c r="AL11" s="196">
        <v>0</v>
      </c>
      <c r="AM11" s="196">
        <v>0</v>
      </c>
      <c r="AN11" s="202">
        <v>0</v>
      </c>
      <c r="AO11" s="283">
        <v>2</v>
      </c>
      <c r="AP11" s="168">
        <v>2</v>
      </c>
      <c r="AQ11" s="168">
        <v>2</v>
      </c>
      <c r="AR11" s="167">
        <v>2</v>
      </c>
      <c r="AS11" s="381" t="s">
        <v>1066</v>
      </c>
      <c r="AT11" s="216"/>
      <c r="AU11" s="215"/>
      <c r="AV11" s="216"/>
      <c r="AW11" s="215"/>
      <c r="AX11" s="216"/>
      <c r="AY11" s="136">
        <f t="shared" ref="AY11:BB12" si="1">IF(ISNUMBER(IF(J_V="SI",S11,S11+AG11)),IF(J_V="SI",S11,S11+AG11)," - ")</f>
        <v>667</v>
      </c>
      <c r="AZ11" s="137">
        <f t="shared" si="1"/>
        <v>653</v>
      </c>
      <c r="BA11" s="137">
        <f t="shared" si="1"/>
        <v>718</v>
      </c>
      <c r="BB11" s="137">
        <f t="shared" si="1"/>
        <v>602</v>
      </c>
      <c r="BC11" s="135">
        <f>IF(ISNUMBER(X11),X11," - ")</f>
        <v>368</v>
      </c>
      <c r="BD11" s="136">
        <f t="shared" ref="BD11:BD13" si="2">IF(ISNUMBER(BA11/AZ11),BA11/AZ11," - ")</f>
        <v>1.0995405819295558</v>
      </c>
      <c r="BE11" s="137">
        <f t="shared" ref="BE11:BE13" si="3">IF(ISNUMBER(BB11/BA11),BB11/BA11, " - ")</f>
        <v>0.83844011142061281</v>
      </c>
      <c r="BF11" s="137">
        <f t="shared" ref="BF11:BF13" si="4">IF(ISNUMBER(BC11/BA11),BC11/BA11, " - ")</f>
        <v>0.51253481894150421</v>
      </c>
      <c r="BG11" s="209">
        <f t="shared" ref="BG11:BG13" si="5">IF(ISNUMBER((AY11+AZ11)/BA11),(AY11+AZ11)/BA11," - ")</f>
        <v>1.8384401114206128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4681</v>
      </c>
      <c r="J14" s="197">
        <f t="shared" si="7"/>
        <v>3171</v>
      </c>
      <c r="K14" s="197">
        <f t="shared" si="7"/>
        <v>3622</v>
      </c>
      <c r="L14" s="197">
        <f t="shared" si="7"/>
        <v>4491</v>
      </c>
      <c r="M14" s="197">
        <f t="shared" si="7"/>
        <v>1178</v>
      </c>
      <c r="N14" s="197">
        <f t="shared" si="7"/>
        <v>1995</v>
      </c>
      <c r="O14" s="197">
        <f t="shared" si="7"/>
        <v>1485</v>
      </c>
      <c r="P14" s="197">
        <f t="shared" si="7"/>
        <v>730</v>
      </c>
      <c r="Q14" s="197">
        <f t="shared" si="7"/>
        <v>799</v>
      </c>
      <c r="R14" s="197">
        <f t="shared" si="7"/>
        <v>4065</v>
      </c>
      <c r="S14" s="197">
        <f t="shared" si="7"/>
        <v>4009</v>
      </c>
      <c r="T14" s="197">
        <f t="shared" si="7"/>
        <v>3087</v>
      </c>
      <c r="U14" s="197">
        <f t="shared" si="7"/>
        <v>3109</v>
      </c>
      <c r="V14" s="197">
        <f t="shared" si="7"/>
        <v>3987</v>
      </c>
      <c r="W14" s="197">
        <f t="shared" si="7"/>
        <v>951</v>
      </c>
      <c r="X14" s="197">
        <f t="shared" si="7"/>
        <v>1576</v>
      </c>
      <c r="Y14" s="197">
        <f t="shared" si="7"/>
        <v>270</v>
      </c>
      <c r="Z14" s="197">
        <f t="shared" si="7"/>
        <v>300</v>
      </c>
      <c r="AA14" s="197">
        <f t="shared" si="7"/>
        <v>326</v>
      </c>
      <c r="AB14" s="197">
        <f t="shared" si="7"/>
        <v>245</v>
      </c>
      <c r="AC14" s="197">
        <f t="shared" si="7"/>
        <v>0</v>
      </c>
      <c r="AD14" s="197">
        <f t="shared" si="7"/>
        <v>0</v>
      </c>
      <c r="AE14" s="197">
        <f t="shared" si="7"/>
        <v>0</v>
      </c>
      <c r="AF14" s="197">
        <f>SUBTOTAL(9,AF9:AF13)</f>
        <v>0</v>
      </c>
      <c r="AG14" s="197">
        <f t="shared" ref="AG14:AT14" si="8">SUBTOTAL(9,AG8:AG13)</f>
        <v>274</v>
      </c>
      <c r="AH14" s="197">
        <f t="shared" si="8"/>
        <v>390</v>
      </c>
      <c r="AI14" s="197">
        <f t="shared" si="8"/>
        <v>375</v>
      </c>
      <c r="AJ14" s="197">
        <f t="shared" si="8"/>
        <v>289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4283</v>
      </c>
      <c r="AZ14" s="197">
        <f>SUBTOTAL(9,AZ8:AZ13)</f>
        <v>3477</v>
      </c>
      <c r="BA14" s="197">
        <f>SUBTOTAL(9,BA8:BA13)</f>
        <v>3484</v>
      </c>
      <c r="BB14" s="197">
        <f>SUBTOTAL(9,BB8:BB13)</f>
        <v>4276</v>
      </c>
      <c r="BC14" s="197">
        <f>SUBTOTAL(9,BC8:BC13)</f>
        <v>1584</v>
      </c>
      <c r="BD14" s="219">
        <f>IF(ISNUMBER(BA14/AZ14),BA14/AZ14," - ")</f>
        <v>1.0020132297958009</v>
      </c>
      <c r="BE14" s="220">
        <f>IF(ISNUMBER(BB14/BA14),BB14/BA14, " - ")</f>
        <v>1.2273249138920781</v>
      </c>
      <c r="BF14" s="220">
        <f>IF(ISNUMBER(BC14/BA14),BC14/BA14, " - ")</f>
        <v>0.45464982778415614</v>
      </c>
      <c r="BG14" s="221">
        <f>IF(ISNUMBER((AY14+AZ14)/BA14),(AY14+AZ14)/BA14," - ")</f>
        <v>2.2273249138920779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2516</v>
      </c>
      <c r="J16" s="196">
        <v>3239</v>
      </c>
      <c r="K16" s="196">
        <v>3136</v>
      </c>
      <c r="L16" s="196">
        <v>2642</v>
      </c>
      <c r="M16" s="196">
        <v>525</v>
      </c>
      <c r="N16" s="196">
        <v>1507</v>
      </c>
      <c r="O16" s="194">
        <v>60</v>
      </c>
      <c r="P16" s="196">
        <v>126</v>
      </c>
      <c r="Q16" s="196">
        <v>90</v>
      </c>
      <c r="R16" s="196">
        <v>375</v>
      </c>
      <c r="S16" s="196">
        <v>1647</v>
      </c>
      <c r="T16" s="196">
        <v>3003</v>
      </c>
      <c r="U16" s="196">
        <v>2913</v>
      </c>
      <c r="V16" s="196">
        <v>1690</v>
      </c>
      <c r="W16" s="196">
        <v>418</v>
      </c>
      <c r="X16" s="202">
        <v>1497</v>
      </c>
      <c r="Y16" s="215">
        <v>0</v>
      </c>
      <c r="Z16" s="196">
        <v>0</v>
      </c>
      <c r="AA16" s="196">
        <v>0</v>
      </c>
      <c r="AB16" s="196">
        <v>0</v>
      </c>
      <c r="AC16" s="196">
        <v>1</v>
      </c>
      <c r="AD16" s="196">
        <v>34</v>
      </c>
      <c r="AE16" s="196">
        <v>34</v>
      </c>
      <c r="AF16" s="202">
        <v>1</v>
      </c>
      <c r="AG16" s="215">
        <v>0</v>
      </c>
      <c r="AH16" s="196">
        <v>0</v>
      </c>
      <c r="AI16" s="196">
        <v>0</v>
      </c>
      <c r="AJ16" s="216">
        <v>0</v>
      </c>
      <c r="AK16" s="195">
        <v>21</v>
      </c>
      <c r="AL16" s="196">
        <v>85</v>
      </c>
      <c r="AM16" s="196">
        <v>61</v>
      </c>
      <c r="AN16" s="202">
        <v>45</v>
      </c>
      <c r="AO16" s="283">
        <v>4</v>
      </c>
      <c r="AP16" s="168">
        <v>4</v>
      </c>
      <c r="AQ16" s="168">
        <v>4</v>
      </c>
      <c r="AR16" s="168">
        <v>4</v>
      </c>
      <c r="AS16" s="381" t="s">
        <v>694</v>
      </c>
      <c r="AT16" s="216" t="s">
        <v>424</v>
      </c>
      <c r="AU16" s="215"/>
      <c r="AV16" s="216"/>
      <c r="AW16" s="215"/>
      <c r="AX16" s="216"/>
      <c r="AY16" s="138">
        <f t="shared" ref="AY16:BB17" si="10">IF(ISNUMBER(IF(D_I="SI",S16,S16+AK16)),IF(D_I="SI",S16,S16+AK16)," - ")</f>
        <v>1647</v>
      </c>
      <c r="AZ16" s="139">
        <f t="shared" si="10"/>
        <v>3003</v>
      </c>
      <c r="BA16" s="139">
        <f t="shared" si="10"/>
        <v>2913</v>
      </c>
      <c r="BB16" s="139">
        <f t="shared" si="10"/>
        <v>1690</v>
      </c>
      <c r="BC16" s="135">
        <f>IF(ISNUMBER(W16),W16," - ")</f>
        <v>418</v>
      </c>
      <c r="BD16" s="136">
        <f>IF(ISNUMBER(BA16/AZ16),BA16/AZ16," - ")</f>
        <v>0.97002997002997005</v>
      </c>
      <c r="BE16" s="137">
        <f>IF(ISNUMBER(BB16/BA16),BB16/BA16, " - ")</f>
        <v>0.58015791280466877</v>
      </c>
      <c r="BF16" s="137">
        <f>IF(ISNUMBER(BC16/BA16),BC16/BA16, " - ")</f>
        <v>0.14349467902506008</v>
      </c>
      <c r="BG16" s="209">
        <f t="shared" ref="BG16:BG22" si="11">IF(ISNUMBER((AY16+AZ16)/BA16),(AY16+AZ16)/BA16," - ")</f>
        <v>1.596292481977343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2</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117</v>
      </c>
      <c r="J18" s="196">
        <v>273</v>
      </c>
      <c r="K18" s="196">
        <v>302</v>
      </c>
      <c r="L18" s="196">
        <v>88</v>
      </c>
      <c r="M18" s="196">
        <v>5</v>
      </c>
      <c r="N18" s="196">
        <v>171</v>
      </c>
      <c r="O18" s="196">
        <v>0</v>
      </c>
      <c r="P18" s="196">
        <v>0</v>
      </c>
      <c r="Q18" s="196">
        <v>1</v>
      </c>
      <c r="R18" s="196">
        <v>4</v>
      </c>
      <c r="S18" s="196">
        <v>124</v>
      </c>
      <c r="T18" s="196">
        <v>244</v>
      </c>
      <c r="U18" s="196">
        <v>286</v>
      </c>
      <c r="V18" s="196">
        <v>82</v>
      </c>
      <c r="W18" s="196">
        <v>9</v>
      </c>
      <c r="X18" s="202">
        <v>147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124</v>
      </c>
      <c r="AZ18" s="139">
        <f t="shared" si="15"/>
        <v>244</v>
      </c>
      <c r="BA18" s="139">
        <f t="shared" si="15"/>
        <v>286</v>
      </c>
      <c r="BB18" s="139">
        <f t="shared" si="15"/>
        <v>82</v>
      </c>
      <c r="BC18" s="135">
        <f>IF(ISNUMBER(W18),W18," - ")</f>
        <v>9</v>
      </c>
      <c r="BD18" s="136">
        <f>IF(ISNUMBER(BA18/AZ18),BA18/AZ18," - ")</f>
        <v>1.1721311475409837</v>
      </c>
      <c r="BE18" s="137">
        <f>IF(ISNUMBER(BB18/BA18),BB18/BA18, " - ")</f>
        <v>0.28671328671328672</v>
      </c>
      <c r="BF18" s="137">
        <f>IF(ISNUMBER(BC18/BA18),BC18/BA18, " - ")</f>
        <v>3.1468531468531472E-2</v>
      </c>
      <c r="BG18" s="209">
        <f>IF(ISNUMBER((AY18+AZ18)/BA18),(AY18+AZ18)/BA18," - ")</f>
        <v>1.2867132867132867</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2635</v>
      </c>
      <c r="J23" s="197">
        <f t="shared" si="21"/>
        <v>3512</v>
      </c>
      <c r="K23" s="197">
        <f t="shared" si="21"/>
        <v>3438</v>
      </c>
      <c r="L23" s="197">
        <f t="shared" si="21"/>
        <v>2732</v>
      </c>
      <c r="M23" s="197">
        <f t="shared" si="21"/>
        <v>530</v>
      </c>
      <c r="N23" s="197">
        <f t="shared" si="21"/>
        <v>1678</v>
      </c>
      <c r="O23" s="197">
        <f t="shared" si="21"/>
        <v>60</v>
      </c>
      <c r="P23" s="197">
        <f t="shared" si="21"/>
        <v>126</v>
      </c>
      <c r="Q23" s="197">
        <f t="shared" si="21"/>
        <v>91</v>
      </c>
      <c r="R23" s="197">
        <f t="shared" si="21"/>
        <v>381</v>
      </c>
      <c r="S23" s="197">
        <f t="shared" si="21"/>
        <v>1773</v>
      </c>
      <c r="T23" s="197">
        <f t="shared" si="21"/>
        <v>3247</v>
      </c>
      <c r="U23" s="197">
        <f t="shared" si="21"/>
        <v>3199</v>
      </c>
      <c r="V23" s="197">
        <f t="shared" si="21"/>
        <v>1774</v>
      </c>
      <c r="W23" s="197">
        <f t="shared" si="21"/>
        <v>427</v>
      </c>
      <c r="X23" s="197">
        <f t="shared" si="21"/>
        <v>1644</v>
      </c>
      <c r="Y23" s="197">
        <f t="shared" si="21"/>
        <v>0</v>
      </c>
      <c r="Z23" s="197">
        <f t="shared" si="21"/>
        <v>0</v>
      </c>
      <c r="AA23" s="197">
        <f t="shared" si="21"/>
        <v>0</v>
      </c>
      <c r="AB23" s="197">
        <f t="shared" si="21"/>
        <v>0</v>
      </c>
      <c r="AC23" s="197">
        <f t="shared" si="21"/>
        <v>1</v>
      </c>
      <c r="AD23" s="197">
        <f t="shared" si="21"/>
        <v>34</v>
      </c>
      <c r="AE23" s="197">
        <f t="shared" si="21"/>
        <v>34</v>
      </c>
      <c r="AF23" s="197">
        <f t="shared" si="21"/>
        <v>1</v>
      </c>
      <c r="AG23" s="197">
        <f t="shared" si="21"/>
        <v>0</v>
      </c>
      <c r="AH23" s="197">
        <f t="shared" si="21"/>
        <v>0</v>
      </c>
      <c r="AI23" s="197">
        <f t="shared" si="21"/>
        <v>0</v>
      </c>
      <c r="AJ23" s="197">
        <f t="shared" si="21"/>
        <v>0</v>
      </c>
      <c r="AK23" s="197">
        <f t="shared" si="21"/>
        <v>21</v>
      </c>
      <c r="AL23" s="197">
        <f t="shared" si="21"/>
        <v>85</v>
      </c>
      <c r="AM23" s="197">
        <f t="shared" si="21"/>
        <v>61</v>
      </c>
      <c r="AN23" s="197">
        <f t="shared" si="21"/>
        <v>45</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1773</v>
      </c>
      <c r="AZ23" s="197">
        <f>SUBTOTAL(9,AZ15:AZ22)</f>
        <v>3247</v>
      </c>
      <c r="BA23" s="197">
        <f>SUBTOTAL(9,BA15:BA22)</f>
        <v>3199</v>
      </c>
      <c r="BB23" s="197">
        <f>SUBTOTAL(9,BB15:BB22)</f>
        <v>1774</v>
      </c>
      <c r="BC23" s="197">
        <f>SUBTOTAL(9,BC15:BC22)</f>
        <v>427</v>
      </c>
      <c r="BD23" s="219">
        <f>IF(ISNUMBER(BA23/AZ23),BA23/AZ23," - ")</f>
        <v>0.98521712349861412</v>
      </c>
      <c r="BE23" s="220">
        <f>IF(ISNUMBER(BB23/BA23),BB23/BA23, " - ")</f>
        <v>0.55454829634260705</v>
      </c>
      <c r="BF23" s="220">
        <f>IF(ISNUMBER(BC23/BA23),BC23/BA23, " - ")</f>
        <v>0.13347921225382933</v>
      </c>
      <c r="BG23" s="221">
        <f>IF(ISNUMBER((AY23+AZ23)/BA23),(AY23+AZ23)/BA23," - ")</f>
        <v>1.5692403876211316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7316</v>
      </c>
      <c r="J31" s="144">
        <f t="shared" si="36"/>
        <v>6683</v>
      </c>
      <c r="K31" s="144">
        <f t="shared" si="36"/>
        <v>7060</v>
      </c>
      <c r="L31" s="144">
        <f t="shared" si="36"/>
        <v>7223</v>
      </c>
      <c r="M31" s="144">
        <f t="shared" si="36"/>
        <v>1708</v>
      </c>
      <c r="N31" s="144">
        <f t="shared" si="36"/>
        <v>3673</v>
      </c>
      <c r="O31" s="144">
        <f t="shared" si="36"/>
        <v>1545</v>
      </c>
      <c r="P31" s="144">
        <f t="shared" si="36"/>
        <v>856</v>
      </c>
      <c r="Q31" s="144">
        <f t="shared" si="36"/>
        <v>890</v>
      </c>
      <c r="R31" s="144">
        <f t="shared" si="36"/>
        <v>4446</v>
      </c>
      <c r="S31" s="144">
        <f t="shared" si="36"/>
        <v>5782</v>
      </c>
      <c r="T31" s="144">
        <f t="shared" si="36"/>
        <v>6334</v>
      </c>
      <c r="U31" s="144">
        <f t="shared" si="36"/>
        <v>6308</v>
      </c>
      <c r="V31" s="144">
        <f t="shared" si="36"/>
        <v>5761</v>
      </c>
      <c r="W31" s="144">
        <f t="shared" si="36"/>
        <v>1378</v>
      </c>
      <c r="X31" s="144">
        <f t="shared" si="36"/>
        <v>3220</v>
      </c>
      <c r="Y31" s="144">
        <f t="shared" si="36"/>
        <v>270</v>
      </c>
      <c r="Z31" s="144">
        <f t="shared" si="36"/>
        <v>300</v>
      </c>
      <c r="AA31" s="144">
        <f t="shared" si="36"/>
        <v>326</v>
      </c>
      <c r="AB31" s="144">
        <f t="shared" si="36"/>
        <v>245</v>
      </c>
      <c r="AC31" s="144">
        <f t="shared" si="36"/>
        <v>1</v>
      </c>
      <c r="AD31" s="144">
        <f t="shared" si="36"/>
        <v>34</v>
      </c>
      <c r="AE31" s="144">
        <f t="shared" si="36"/>
        <v>34</v>
      </c>
      <c r="AF31" s="144">
        <f t="shared" si="36"/>
        <v>1</v>
      </c>
      <c r="AG31" s="144">
        <f t="shared" si="36"/>
        <v>274</v>
      </c>
      <c r="AH31" s="144">
        <f t="shared" si="36"/>
        <v>390</v>
      </c>
      <c r="AI31" s="144">
        <f t="shared" si="36"/>
        <v>375</v>
      </c>
      <c r="AJ31" s="144">
        <f t="shared" si="36"/>
        <v>289</v>
      </c>
      <c r="AK31" s="144">
        <f t="shared" si="36"/>
        <v>21</v>
      </c>
      <c r="AL31" s="144">
        <f t="shared" si="36"/>
        <v>85</v>
      </c>
      <c r="AM31" s="144">
        <f t="shared" si="36"/>
        <v>61</v>
      </c>
      <c r="AN31" s="224">
        <f t="shared" si="36"/>
        <v>45</v>
      </c>
      <c r="AO31" s="225">
        <v>12</v>
      </c>
      <c r="AP31" s="225">
        <v>12</v>
      </c>
      <c r="AQ31" s="225">
        <v>12</v>
      </c>
      <c r="AR31" s="225">
        <v>12</v>
      </c>
      <c r="AS31" s="166">
        <f t="shared" si="36"/>
        <v>0</v>
      </c>
      <c r="AT31" s="166">
        <f t="shared" si="36"/>
        <v>0</v>
      </c>
      <c r="AU31" s="225"/>
      <c r="AV31" s="226"/>
      <c r="AW31" s="225"/>
      <c r="AX31" s="226"/>
      <c r="AY31" s="143">
        <f>SUBTOTAL(9,AY9:AY30)</f>
        <v>6056</v>
      </c>
      <c r="AZ31" s="144">
        <f>SUBTOTAL(9,AZ9:AZ30)</f>
        <v>6724</v>
      </c>
      <c r="BA31" s="144">
        <f>SUBTOTAL(9,BA9:BA30)</f>
        <v>6683</v>
      </c>
      <c r="BB31" s="144">
        <f>SUBTOTAL(9,BB9:BB30)</f>
        <v>6050</v>
      </c>
      <c r="BC31" s="145">
        <f>SUBTOTAL(9,BC9:BC30)</f>
        <v>2011</v>
      </c>
      <c r="BD31" s="227">
        <f>IF(ISNUMBER(BA31/AZ31),BA31/AZ31," - ")</f>
        <v>0.99390243902439024</v>
      </c>
      <c r="BE31" s="224">
        <f>IF(ISNUMBER(BB31/BA31),BB31/BA31, " - ")</f>
        <v>0.90528205895555891</v>
      </c>
      <c r="BF31" s="224">
        <f>IF(ISNUMBER(BC31/BA31),BC31/BA31, " - ")</f>
        <v>0.30091276372886427</v>
      </c>
      <c r="BG31" s="145">
        <f>IF(ISNUMBER((AY31+AZ31)/BA31),(AY31+AZ31)/BA31," - ")</f>
        <v>1.9123148286697591</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B2o5TQrDfyNLGdBjk035im0pOKpv7Ism0NoHEKdriJ2GM8DqD8RpgzITmpLVKVzCRxH03HWOV4/6rXj2ZLsJQ==" saltValue="ttwg/9AaSnkeF6B6UhvM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YQ+m9Kti22Van+iVcjiII1u3Rl83HUmXfIroOUXoc8rTPANBaaXFayOhaS5fMzn/oY7F/6z/2bnA/iJWfzrA==" saltValue="cjye61xGw40VWa02pcIe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GIRONA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110</v>
      </c>
      <c r="O9" s="549"/>
      <c r="P9" s="549"/>
      <c r="Q9" s="547">
        <f>IF(ISNUMBER(Datos!P9),Datos!P9,0)</f>
        <v>690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724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89</v>
      </c>
      <c r="AI9" s="549" t="str">
        <f>IF(ISNUMBER(Datos!CD9),Datos!CD9,"-")</f>
        <v>-</v>
      </c>
      <c r="AJ9" s="549" t="str">
        <f>IF(ISNUMBER(Datos!EN9),Datos!EN9," - ")</f>
        <v xml:space="preserve"> - </v>
      </c>
      <c r="AK9" s="549"/>
      <c r="AL9" s="550"/>
      <c r="AM9" s="766">
        <f>IF(ISNUMBER(Datos!R9),Datos!R9," - ")</f>
        <v>3439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1004</v>
      </c>
      <c r="BD9" s="693">
        <f>IF(ISNUMBER(Datos!N9),Datos!N9," - ")</f>
        <v>1442</v>
      </c>
      <c r="BE9" s="693" t="str">
        <f>IF(ISNUMBER(Datos!BW9),Datos!BW9," - ")</f>
        <v xml:space="preserve"> - </v>
      </c>
      <c r="BF9" s="762" t="str">
        <f>IF(ISNUMBER(Datos!BX9),Datos!BX9," - ")</f>
        <v xml:space="preserve"> - </v>
      </c>
      <c r="BG9" s="763">
        <f>IF(ISNUMBER(IF(J_V="SI",Datos!K9/Datos!J9,(Datos!K9+Datos!AA9)/(Datos!J9+Datos!Z9))),IF(J_V="SI",Datos!K9/Datos!J9,(Datos!K9+Datos!AA9)/(Datos!J9+Datos!Z9))," - ")</f>
        <v>1.1558669001751314</v>
      </c>
      <c r="BH9" s="764">
        <f>IF(ISNUMBER(((IF(J_V="SI",Datos!L9/Datos!K9,(Datos!L9+Datos!AB9)/(Datos!K9+Datos!AA9)))*11)/factor_trimestre),((IF(J_V="SI",Datos!L9/Datos!K9,(Datos!L9+Datos!AB9)/(Datos!K9+Datos!AA9)))*11)/factor_trimestre," - ")</f>
        <v>3.7127272727272729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-9.7898070832133609E-3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36</v>
      </c>
      <c r="AC10" s="547">
        <f>IF(ISNUMBER(Datos!Q10),Datos!Q10," - ")</f>
        <v>6</v>
      </c>
      <c r="AD10" s="549"/>
      <c r="AE10" s="563"/>
      <c r="AF10" s="551">
        <f>IF(ISNUMBER(Datos!L10),Datos!L10,"-")</f>
        <v>38</v>
      </c>
      <c r="AG10" s="549"/>
      <c r="AH10" s="549"/>
      <c r="AI10" s="549"/>
      <c r="AJ10" s="549"/>
      <c r="AK10" s="549"/>
      <c r="AL10" s="550"/>
      <c r="AM10" s="766">
        <f>IF(ISNUMBER(Datos!R10),Datos!R10," - ")</f>
        <v>89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19</v>
      </c>
      <c r="BE10" s="693" t="str">
        <f>IF(ISNUMBER(Datos!BW10),Datos!BW10," - ")</f>
        <v xml:space="preserve"> - </v>
      </c>
      <c r="BF10" s="762" t="str">
        <f>IF(ISNUMBER(Datos!BX10),Datos!BX10," - ")</f>
        <v xml:space="preserve"> - </v>
      </c>
      <c r="BG10" s="763">
        <f>IF(ISNUMBER(Datos!K10/Datos!J10),Datos!K10/Datos!J10," - ")</f>
        <v>1.0588235294117647</v>
      </c>
      <c r="BH10" s="764">
        <f>IF(ISNUMBER(((Datos!L10/Datos!K10)*11)/factor_trimestre),((Datos!L10/Datos!K10)*11)/factor_trimestre," - ")</f>
        <v>3.1666666666666665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-1.1111111111111112E-2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190</v>
      </c>
      <c r="O11" s="549"/>
      <c r="P11" s="549"/>
      <c r="Q11" s="547">
        <f>IF(ISNUMBER(Datos!P11),Datos!P11,0)</f>
        <v>35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69</v>
      </c>
      <c r="AD11" s="549"/>
      <c r="AE11" s="563"/>
      <c r="AF11" s="551" t="str">
        <f>IF(ISNUMBER(IF(J_V="SI",Datos!L11,Datos!L11+Datos!AB11)-IF(Monitorios="SI",Datos!CD11,0)),
                          IF(J_V="SI",Datos!L11,Datos!L11+Datos!AB11)-IF(Monitorios="SI",Datos!CD11,0),
                          " - ")</f>
        <v xml:space="preserve"> - </v>
      </c>
      <c r="AG11" s="549"/>
      <c r="AH11" s="549">
        <f>IF(ISNUMBER(Datos!AB11),Datos!AB11,"-")</f>
        <v>156</v>
      </c>
      <c r="AI11" s="549"/>
      <c r="AJ11" s="549"/>
      <c r="AK11" s="549"/>
      <c r="AL11" s="550"/>
      <c r="AM11" s="766">
        <f>IF(ISNUMBER(Datos!R11),Datos!R11," - ")</f>
        <v>537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162</v>
      </c>
      <c r="BD11" s="693">
        <f>IF(ISNUMBER(Datos!N11),Datos!N11," - ")</f>
        <v>534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1.0515463917525774</v>
      </c>
      <c r="BH11" s="764">
        <f>IF(ISNUMBER(((IF(J_V="SI",Datos!L11/Datos!K11,(Datos!L11+Datos!AB11)/(Datos!K11+Datos!AA11)))*11)/factor_trimestre),((IF(J_V="SI",Datos!L11/Datos!K11,(Datos!L11+Datos!AB11)/(Datos!K11+Datos!AA11)))*11)/factor_trimestre," - ")</f>
        <v>3.0098039215686274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-5.9544658493870403E-2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300</v>
      </c>
      <c r="O14" s="1199">
        <f t="shared" si="1"/>
        <v>0</v>
      </c>
      <c r="P14" s="1199">
        <f t="shared" si="1"/>
        <v>0</v>
      </c>
      <c r="Q14" s="1198">
        <f t="shared" si="1"/>
        <v>730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36</v>
      </c>
      <c r="AC14" s="1198">
        <f t="shared" si="2"/>
        <v>799</v>
      </c>
      <c r="AD14" s="1198">
        <f t="shared" si="2"/>
        <v>0</v>
      </c>
      <c r="AE14" s="1198">
        <f t="shared" si="2"/>
        <v>0</v>
      </c>
      <c r="AF14" s="1198">
        <f t="shared" si="2"/>
        <v>38</v>
      </c>
      <c r="AG14" s="1198">
        <f t="shared" si="2"/>
        <v>0</v>
      </c>
      <c r="AH14" s="1198">
        <f t="shared" si="2"/>
        <v>245</v>
      </c>
      <c r="AI14" s="1198">
        <f t="shared" si="2"/>
        <v>0</v>
      </c>
      <c r="AJ14" s="1198">
        <f t="shared" si="2"/>
        <v>0</v>
      </c>
      <c r="AK14" s="1198">
        <f t="shared" si="2"/>
        <v>0</v>
      </c>
      <c r="AL14" s="1198">
        <f t="shared" si="2"/>
        <v>0</v>
      </c>
      <c r="AM14" s="1198">
        <f t="shared" si="2"/>
        <v>4065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1178</v>
      </c>
      <c r="BD14" s="1198">
        <f t="shared" si="2"/>
        <v>1995</v>
      </c>
      <c r="BE14" s="1198">
        <f t="shared" si="2"/>
        <v>0</v>
      </c>
      <c r="BF14" s="1198">
        <f t="shared" si="2"/>
        <v>0</v>
      </c>
      <c r="BG14" s="1198">
        <f>IF(ISNUMBER(Datos!K14/Datos!J14),Datos!K14/Datos!J14," - ")</f>
        <v>1.1422264269946389</v>
      </c>
      <c r="BH14" s="1202">
        <f>IF(ISNUMBER(((Datos!L14/Datos!K14)*11)/factor_trimestre),((Datos!L14/Datos!K14)*11)/factor_trimestre," - ")</f>
        <v>3.719768083931529</v>
      </c>
      <c r="BI14" s="1198">
        <f>IF(ISNUMBER('Resol  Asuntos'!D14/NºAsuntos!G14),'Resol  Asuntos'!D14/NºAsuntos!G14," - ")</f>
        <v>0.29837892603850052</v>
      </c>
      <c r="BJ14" s="1198" t="str">
        <f>IF(ISNUMBER(Datos!CI14/Datos!CJ14),Datos!CI14/Datos!CJ14," - ")</f>
        <v xml:space="preserve"> - </v>
      </c>
      <c r="BK14" s="1198">
        <f>SUBTOTAL(9,BK8:BK13)</f>
        <v>0</v>
      </c>
      <c r="BL14" s="1198">
        <f>IF(ISNUMBER((I14-AB14+L14)/(F14)),(I14-AB14+L14)/(F14)," - ")</f>
        <v>-0.9</v>
      </c>
      <c r="BM14" s="1203">
        <f>SUBTOTAL(9,BM9:BM13)</f>
        <v>-8.0445576688194881E-2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2539</v>
      </c>
      <c r="G16" s="743">
        <f>IF(ISNUMBER(IF(D_I="SI",Datos!I16,Datos!I16+Datos!AC16)),IF(D_I="SI",Datos!I16,Datos!I16+Datos!AC16)," - ")</f>
        <v>2516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3136</v>
      </c>
      <c r="AC16" s="240">
        <f>IF(ISNUMBER(Datos!Q16),Datos!Q16," - ")</f>
        <v>90</v>
      </c>
      <c r="AD16" s="374"/>
      <c r="AE16" s="562"/>
      <c r="AF16" s="741">
        <f>IF(ISNUMBER(IF(D_I="SI",Datos!L16,Datos!L16+Datos!AF16)),IF(D_I="SI",Datos!L16,Datos!L16+Datos!AF16)," - ")</f>
        <v>2642</v>
      </c>
      <c r="AG16" s="374"/>
      <c r="AH16" s="374"/>
      <c r="AI16" s="374"/>
      <c r="AJ16" s="549"/>
      <c r="AK16" s="374"/>
      <c r="AL16" s="545"/>
      <c r="AM16" s="375">
        <f>IF(ISNUMBER(Datos!R16),Datos!R16," - ")</f>
        <v>375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525</v>
      </c>
      <c r="BD16" s="243">
        <f>IF(ISNUMBER(Datos!N16),Datos!N16," - ")</f>
        <v>1507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0.96820006174745288</v>
      </c>
      <c r="BH16" s="764">
        <f>IF(ISNUMBER(((IF(D_I="SI",Datos!L16/Datos!K16,(Datos!L16+Datos!AF16)/(Datos!K16+Datos!AE16)))*11)/factor_trimestre),((IF(D_I="SI",Datos!L16/Datos!K16,(Datos!L16+Datos!AF16)/(Datos!K16+Datos!AE16)))*11)/factor_trimestre," - ")</f>
        <v>2.5274234693877551</v>
      </c>
      <c r="BI16" s="266">
        <f>IF(ISNUMBER('Resol  Asuntos'!D16/NºAsuntos!G16),'Resol  Asuntos'!D16/NºAsuntos!G16," - ")</f>
        <v>0.16741071428571427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302</v>
      </c>
      <c r="AC18" s="547">
        <f>IF(ISNUMBER(Datos!Q18),Datos!Q18," - ")</f>
        <v>1</v>
      </c>
      <c r="AD18" s="549"/>
      <c r="AE18" s="562"/>
      <c r="AF18" s="551">
        <f>IF(ISNUMBER(Datos!L18),Datos!L18,"-")</f>
        <v>88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171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1.1062271062271063</v>
      </c>
      <c r="BH18" s="764">
        <f>IF(ISNUMBER(((IF(D_I="SI",Datos!L18/Datos!K18,(Datos!L18+Datos!AF18)/(Datos!K18+Datos!AE18)))*11)/factor_trimestre),((IF(D_I="SI",Datos!L18/Datos!K18,(Datos!L18+Datos!AF18)/(Datos!K18+Datos!AE18)))*11)/factor_trimestre," - ")</f>
        <v>0.8741721854304636</v>
      </c>
      <c r="BI18" s="763">
        <f>IF(ISNUMBER('Resol  Asuntos'!D18/NºAsuntos!G18),'Resol  Asuntos'!D18/NºAsuntos!G18," - ")</f>
        <v>1.6556291390728478E-2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2541</v>
      </c>
      <c r="G23" s="1197">
        <f>SUBTOTAL(9,G16:G22)</f>
        <v>2635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3438</v>
      </c>
      <c r="AC23" s="1198">
        <f t="shared" si="5"/>
        <v>91</v>
      </c>
      <c r="AD23" s="1198">
        <f t="shared" si="5"/>
        <v>0</v>
      </c>
      <c r="AE23" s="1198">
        <f t="shared" si="5"/>
        <v>0</v>
      </c>
      <c r="AF23" s="1198">
        <f t="shared" si="5"/>
        <v>2732</v>
      </c>
      <c r="AG23" s="1198">
        <f t="shared" si="5"/>
        <v>0</v>
      </c>
      <c r="AH23" s="1198">
        <f t="shared" si="5"/>
        <v>0</v>
      </c>
      <c r="AI23" s="1198">
        <f t="shared" si="5"/>
        <v>0</v>
      </c>
      <c r="AJ23" s="1198">
        <f t="shared" si="5"/>
        <v>0</v>
      </c>
      <c r="AK23" s="1198">
        <f t="shared" si="5"/>
        <v>0</v>
      </c>
      <c r="AL23" s="1198">
        <f t="shared" si="5"/>
        <v>0</v>
      </c>
      <c r="AM23" s="1198">
        <f t="shared" si="5"/>
        <v>381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530</v>
      </c>
      <c r="BD23" s="1198">
        <f t="shared" si="5"/>
        <v>1678</v>
      </c>
      <c r="BE23" s="1198">
        <f t="shared" si="5"/>
        <v>0</v>
      </c>
      <c r="BF23" s="1198">
        <f t="shared" si="5"/>
        <v>0</v>
      </c>
      <c r="BG23" s="1198">
        <f>IF(ISNUMBER(Datos!K23/Datos!J23),Datos!K23/Datos!J23," - ")</f>
        <v>0.97892938496583148</v>
      </c>
      <c r="BH23" s="1202">
        <f>IF(ISNUMBER(((Datos!L23/Datos!K23)*11)/factor_trimestre),((Datos!L23/Datos!K23)*11)/factor_trimestre," - ")</f>
        <v>2.3839441535776618</v>
      </c>
      <c r="BI23" s="1198">
        <f>SUBTOTAL(9,BI16:BI22)</f>
        <v>0.18396700567644275</v>
      </c>
      <c r="BJ23" s="1198">
        <f>SUBTOTAL(9,BJ16:BJ22)</f>
        <v>0</v>
      </c>
      <c r="BK23" s="1198">
        <f>SUBTOTAL(9,BK16:BK22)</f>
        <v>0</v>
      </c>
      <c r="BL23" s="1198">
        <f>IF(ISNUMBER((I23-AB23+L23)/(F23)),(I23-AB23+L23)/(F23)," - ")</f>
        <v>-1.3530106257378984</v>
      </c>
      <c r="BM23" s="1205">
        <f>IF(ISNUMBER((Datos!P23-Datos!Q23)/(Datos!R23-Datos!P23+Datos!Q23)),(Datos!P23-Datos!Q23)/(Datos!R23-Datos!P23+Datos!Q23)," - ")</f>
        <v>0.10115606936416185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2581</v>
      </c>
      <c r="G31" s="1117">
        <f t="shared" si="18"/>
        <v>2675</v>
      </c>
      <c r="H31" s="1119">
        <f t="shared" si="18"/>
        <v>0</v>
      </c>
      <c r="I31" s="1117">
        <f t="shared" si="18"/>
        <v>0</v>
      </c>
      <c r="J31" s="1119">
        <f t="shared" si="18"/>
        <v>0</v>
      </c>
      <c r="K31" s="1119">
        <f t="shared" si="18"/>
        <v>0</v>
      </c>
      <c r="L31" s="1180">
        <f t="shared" si="18"/>
        <v>0</v>
      </c>
      <c r="M31" s="1180">
        <f t="shared" si="18"/>
        <v>0</v>
      </c>
      <c r="N31" s="1180">
        <f t="shared" si="18"/>
        <v>300</v>
      </c>
      <c r="O31" s="1180">
        <f t="shared" si="18"/>
        <v>0</v>
      </c>
      <c r="P31" s="1180">
        <f t="shared" si="18"/>
        <v>0</v>
      </c>
      <c r="Q31" s="1119">
        <f t="shared" si="18"/>
        <v>856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3474</v>
      </c>
      <c r="AC31" s="1118">
        <f t="shared" si="19"/>
        <v>890</v>
      </c>
      <c r="AD31" s="1118">
        <f t="shared" si="19"/>
        <v>0</v>
      </c>
      <c r="AE31" s="1118">
        <f t="shared" si="19"/>
        <v>0</v>
      </c>
      <c r="AF31" s="1125">
        <f t="shared" si="19"/>
        <v>2770</v>
      </c>
      <c r="AG31" s="1125">
        <f t="shared" si="19"/>
        <v>0</v>
      </c>
      <c r="AH31" s="1125">
        <f t="shared" si="19"/>
        <v>245</v>
      </c>
      <c r="AI31" s="1125">
        <f t="shared" si="19"/>
        <v>0</v>
      </c>
      <c r="AJ31" s="1118">
        <f t="shared" si="19"/>
        <v>0</v>
      </c>
      <c r="AK31" s="1125">
        <f t="shared" si="19"/>
        <v>0</v>
      </c>
      <c r="AL31" s="1125">
        <f t="shared" si="19"/>
        <v>0</v>
      </c>
      <c r="AM31" s="1125">
        <f t="shared" si="19"/>
        <v>4446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1708</v>
      </c>
      <c r="BD31" s="1117">
        <f t="shared" si="19"/>
        <v>3673</v>
      </c>
      <c r="BE31" s="1117">
        <f t="shared" si="19"/>
        <v>0</v>
      </c>
      <c r="BF31" s="1127">
        <f t="shared" si="19"/>
        <v>0</v>
      </c>
      <c r="BG31" s="1223">
        <f>IF(ISNUMBER(Datos!K31/Datos!J31),Datos!K31/Datos!J31," - ")</f>
        <v>1.0564117911117761</v>
      </c>
      <c r="BH31" s="1223">
        <f>IF(ISNUMBER(((Datos!L31/Datos!K31)*11)/factor_trimestre),((Datos!L31/Datos!K31)*11)/factor_trimestre," - ")</f>
        <v>3.0692634560906522</v>
      </c>
      <c r="BI31" s="1103">
        <f>IF(ISNUMBER(Datos!J31/Datos!I31),Datos!J31/Datos!I31," - ")</f>
        <v>0.9134773100054675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-1.345989926385122</v>
      </c>
      <c r="BM31" s="1188">
        <f>IF(ISNUMBER((Datos!P31-Datos!Q31+R31)/(Datos!R31-Datos!P31+Datos!Q31-R31)),(Datos!P31-Datos!Q31+R31)/(Datos!R31-Datos!P31+Datos!Q31-R31)," - ")</f>
        <v>-7.5892857142857142E-3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668.75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2.3619795444544081</v>
      </c>
      <c r="F33" s="673">
        <f>IF(ISNUMBER(STDEV(F8:F30)),STDEV(F8:F30),"-")</f>
        <v>1231.5166607538388</v>
      </c>
      <c r="G33" s="674">
        <f>IF(ISNUMBER(STDEV(G8:G30)),STDEV(G8:G30),"-")</f>
        <v>1177.9256282610909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1498.2751034820963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448.6686973703425</v>
      </c>
      <c r="BD33" s="673"/>
      <c r="BE33" s="673">
        <f>IF(ISNUMBER(STDEV(BE8:BE30)),STDEV(BE8:BE30),"-")</f>
        <v>0</v>
      </c>
      <c r="BF33" s="678">
        <f>IF(ISNUMBER(STDEV(BF8:BF30)),STDEV(BF8:BF30),"-")</f>
        <v>0</v>
      </c>
      <c r="BG33" s="1052">
        <f>IF(ISNUMBER(STDEV(BG8:BG30)),STDEV(BG8:BG30),"-")</f>
        <v>7.4062216865472721E-2</v>
      </c>
      <c r="BH33" s="1058">
        <f>IF(ISNUMBER(STDEV(BH8:BH30)),STDEV(BH8:BH30),"-")</f>
        <v>0.98384341413663634</v>
      </c>
      <c r="BI33" s="273">
        <f>IF(ISNUMBER(STDEV(BI8:BI30)),STDEV(BI8:BI30),"-")</f>
        <v>0.11573110801901797</v>
      </c>
      <c r="BJ33" s="244" t="str">
        <f>IF(ISNUMBER(BL33/BM33),BL33/BM33," - ")</f>
        <v xml:space="preserve"> - </v>
      </c>
      <c r="BK33" s="709"/>
      <c r="BL33" s="681">
        <f>IF(ISNUMBER(STDEV(BL8:BL30)),STDEV(BL8:BL30),"-")</f>
        <v>0.32032688540882837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1+M7OVoimzrBHV2mdKYQs5dkNUpC7Fa2PA9OgvxIHCKLd2eMqLpHNbAoZM37MCDiB4x3r4iy3AWJBbsphKQGA==" saltValue="6b+wVOnwi5AQwAr1rby1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GIRONA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690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724</v>
      </c>
      <c r="AA9" s="551" t="str">
        <f>IF(ISNUMBER(IF(J_V="SI",Datos!L9,Datos!L9+Datos!AB9)-IF(Monitorios="SI",Datos!CD9,0)),
                          IF(J_V="SI",Datos!L9,Datos!L9+Datos!AB9)-IF(Monitorios="SI",Datos!CD9,0),
                          " - ")</f>
        <v xml:space="preserve"> - </v>
      </c>
      <c r="AB9" s="549"/>
      <c r="AC9" s="549"/>
      <c r="AD9" s="563"/>
      <c r="AE9" s="563">
        <f>IF(ISNUMBER(Datos!R9),Datos!R9," - ")</f>
        <v>3439</v>
      </c>
      <c r="AF9" s="693" t="str">
        <f>IF(ISNUMBER(Datos!BV9),Datos!BV9," - ")</f>
        <v xml:space="preserve"> - </v>
      </c>
      <c r="AG9" s="552" t="str">
        <f>IF(ISNUMBER(Datos!DV9),Datos!DV9," - ")</f>
        <v xml:space="preserve"> - </v>
      </c>
      <c r="AH9" s="553"/>
      <c r="AI9" s="554"/>
      <c r="AJ9" s="552">
        <f>IF(ISNUMBER(Datos!M9),Datos!M9," - ")</f>
        <v>1004</v>
      </c>
      <c r="AK9" s="693">
        <f>IF(ISNUMBER(Datos!N9),Datos!N9," - ")</f>
        <v>1442</v>
      </c>
      <c r="AL9" s="693" t="str">
        <f>IF(ISNUMBER(Datos!BW9),Datos!BW9," - ")</f>
        <v xml:space="preserve"> - </v>
      </c>
      <c r="AM9" s="762" t="str">
        <f>IF(ISNUMBER(Datos!BX9),Datos!BX9," - ")</f>
        <v xml:space="preserve"> - </v>
      </c>
      <c r="AN9" s="763"/>
      <c r="AO9" s="764">
        <f>IF(ISNUMBER(((NºAsuntos!I9/NºAsuntos!G9)*11)/factor_trimestre),((NºAsuntos!I9/NºAsuntos!G9)*11)/factor_trimestre," - ")</f>
        <v>3.7127272727272729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-9.7898070832133609E-3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36</v>
      </c>
      <c r="Z10" s="805">
        <f>IF(ISNUMBER(Datos!Q10),Datos!Q10," - ")</f>
        <v>6</v>
      </c>
      <c r="AA10" s="551">
        <f>IF(ISNUMBER(Datos!L10),Datos!L10,"-")</f>
        <v>38</v>
      </c>
      <c r="AB10" s="549"/>
      <c r="AC10" s="549"/>
      <c r="AD10" s="563"/>
      <c r="AE10" s="563">
        <f>IF(ISNUMBER(Datos!R10),Datos!R10," - ")</f>
        <v>89</v>
      </c>
      <c r="AF10" s="693" t="str">
        <f>IF(ISNUMBER(Datos!BV10),Datos!BV10," - ")</f>
        <v xml:space="preserve"> - </v>
      </c>
      <c r="AG10" s="552" t="str">
        <f>IF(ISNUMBER(Datos!DV10),Datos!DV10," - ")</f>
        <v xml:space="preserve"> - </v>
      </c>
      <c r="AH10" s="553"/>
      <c r="AI10" s="554"/>
      <c r="AJ10" s="552">
        <f>IF(ISNUMBER(Datos!M10),Datos!M10," - ")</f>
        <v>12</v>
      </c>
      <c r="AK10" s="693">
        <f>IF(ISNUMBER(Datos!N10),Datos!N10," - ")</f>
        <v>19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3.1666666666666665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-1.1111111111111112E-2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69</v>
      </c>
      <c r="AA11" s="551" t="str">
        <f>IF(ISNUMBER(IF(J_V="SI",Datos!L11,Datos!L11+Datos!AB11)-IF(Monitorios="SI",Datos!CD11,0)),
                          IF(J_V="SI",Datos!L11,Datos!L11+Datos!AB11)-IF(Monitorios="SI",Datos!CD11,0),
                          " - ")</f>
        <v xml:space="preserve"> - </v>
      </c>
      <c r="AB11" s="549"/>
      <c r="AC11" s="549"/>
      <c r="AD11" s="563"/>
      <c r="AE11" s="563">
        <f>IF(ISNUMBER(Datos!R11),Datos!R11," - ")</f>
        <v>537</v>
      </c>
      <c r="AF11" s="693" t="str">
        <f>IF(ISNUMBER(Datos!BV11),Datos!BV11," - ")</f>
        <v xml:space="preserve"> - </v>
      </c>
      <c r="AG11" s="552" t="str">
        <f>IF(ISNUMBER(Datos!DV11),Datos!DV11," - ")</f>
        <v xml:space="preserve"> - </v>
      </c>
      <c r="AH11" s="553"/>
      <c r="AI11" s="554"/>
      <c r="AJ11" s="552">
        <f>IF(ISNUMBER(Datos!M11),Datos!M11," - ")</f>
        <v>162</v>
      </c>
      <c r="AK11" s="693">
        <f>IF(ISNUMBER(Datos!N11),Datos!N11," - ")</f>
        <v>534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3.0098039215686274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-5.9544658493870403E-2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730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36</v>
      </c>
      <c r="Z14" s="1210">
        <f t="shared" si="3"/>
        <v>799</v>
      </c>
      <c r="AA14" s="1199">
        <f t="shared" si="3"/>
        <v>38</v>
      </c>
      <c r="AB14" s="1199">
        <f t="shared" si="3"/>
        <v>0</v>
      </c>
      <c r="AC14" s="1199">
        <f t="shared" si="3"/>
        <v>0</v>
      </c>
      <c r="AD14" s="1199">
        <f t="shared" si="3"/>
        <v>0</v>
      </c>
      <c r="AE14" s="1199">
        <f t="shared" si="3"/>
        <v>4065</v>
      </c>
      <c r="AF14" s="1211">
        <f t="shared" si="3"/>
        <v>0</v>
      </c>
      <c r="AG14" s="1211">
        <f t="shared" si="3"/>
        <v>0</v>
      </c>
      <c r="AH14" s="1211">
        <f t="shared" si="3"/>
        <v>0</v>
      </c>
      <c r="AI14" s="1211">
        <f t="shared" si="3"/>
        <v>0</v>
      </c>
      <c r="AJ14" s="1211">
        <f t="shared" si="3"/>
        <v>1178</v>
      </c>
      <c r="AK14" s="1211">
        <f t="shared" si="3"/>
        <v>1995</v>
      </c>
      <c r="AL14" s="1211">
        <f t="shared" si="3"/>
        <v>0</v>
      </c>
      <c r="AM14" s="1211">
        <f t="shared" si="3"/>
        <v>0</v>
      </c>
      <c r="AN14" s="1211">
        <f t="shared" si="3"/>
        <v>0</v>
      </c>
      <c r="AO14" s="1203">
        <f>IF(ISNUMBER(((NºAsuntos!I14/NºAsuntos!G14)*11)/factor_trimestre),((NºAsuntos!I14/NºAsuntos!G14)*11)/factor_trimestre," - ")</f>
        <v>3.5987841945288754</v>
      </c>
      <c r="AP14" s="1213" t="str">
        <f>IF(ISNUMBER(Datos!CI14/Datos!CJ14),Datos!CI14/Datos!CJ14," - ")</f>
        <v xml:space="preserve"> - </v>
      </c>
      <c r="AQ14" s="1236">
        <f t="shared" ref="AQ14:AV14" si="4">SUBTOTAL(9,AQ9:AQ13)</f>
        <v>0</v>
      </c>
      <c r="AR14" s="1236">
        <f t="shared" si="4"/>
        <v>-8.0445576688194881E-2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2539</v>
      </c>
      <c r="G16" s="552">
        <f>IF(ISNUMBER(IF(D_I="SI",Datos!I16,Datos!I16+Datos!AC16)),IF(D_I="SI",Datos!I16,Datos!I16+Datos!AC16)," - ")</f>
        <v>2516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3136</v>
      </c>
      <c r="Z16" s="805">
        <f>IF(ISNUMBER(Datos!Q16),Datos!Q16," - ")</f>
        <v>90</v>
      </c>
      <c r="AA16" s="551">
        <f>IF(ISNUMBER(IF(D_I="SI",Datos!L16,Datos!L16+Datos!AF16)),IF(D_I="SI",Datos!L16,Datos!L16+Datos!AF16)," - ")</f>
        <v>2642</v>
      </c>
      <c r="AB16" s="549"/>
      <c r="AC16" s="549"/>
      <c r="AD16" s="563"/>
      <c r="AE16" s="563">
        <f>IF(ISNUMBER(Datos!R16),Datos!R16," - ")</f>
        <v>375</v>
      </c>
      <c r="AF16" s="693" t="str">
        <f>IF(ISNUMBER(Datos!BV16),Datos!BV16," - ")</f>
        <v xml:space="preserve"> - </v>
      </c>
      <c r="AG16" s="552"/>
      <c r="AH16" s="553"/>
      <c r="AI16" s="554"/>
      <c r="AJ16" s="552">
        <f>IF(ISNUMBER(Datos!M16),Datos!M16," - ")</f>
        <v>525</v>
      </c>
      <c r="AK16" s="693">
        <f>IF(ISNUMBER(Datos!N16),Datos!N16," - ")</f>
        <v>1507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2.5274234693877551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302</v>
      </c>
      <c r="Z18" s="805">
        <f>IF(ISNUMBER(Datos!Q18),Datos!Q18," - ")</f>
        <v>1</v>
      </c>
      <c r="AA18" s="551">
        <f>IF(ISNUMBER(Datos!L18),Datos!L18,"-")</f>
        <v>88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5</v>
      </c>
      <c r="AK18" s="693">
        <f>IF(ISNUMBER(Datos!N18),Datos!N18," - ")</f>
        <v>171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0.8741721854304636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2541</v>
      </c>
      <c r="G23" s="1197">
        <f>SUBTOTAL(9,G16:G22)</f>
        <v>2635</v>
      </c>
      <c r="H23" s="1240">
        <f>SUBTOTAL(9,H16:H22)</f>
        <v>0</v>
      </c>
      <c r="I23" s="1217">
        <f>SUBTOTAL(9,I16:I22)</f>
        <v>0</v>
      </c>
      <c r="J23" s="1164">
        <f>SUBTOTAL(9,J15:J22)</f>
        <v>0</v>
      </c>
      <c r="K23" s="1240">
        <f t="shared" ref="K23:S23" si="5">SUBTOTAL(9,K16:K22)</f>
        <v>0</v>
      </c>
      <c r="L23" s="1240">
        <f t="shared" si="5"/>
        <v>0</v>
      </c>
      <c r="M23" s="1240">
        <f t="shared" si="5"/>
        <v>0</v>
      </c>
      <c r="N23" s="1240">
        <f t="shared" si="5"/>
        <v>126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3438</v>
      </c>
      <c r="Z23" s="1240">
        <f t="shared" si="6"/>
        <v>91</v>
      </c>
      <c r="AA23" s="1240">
        <f t="shared" si="6"/>
        <v>2732</v>
      </c>
      <c r="AB23" s="1240">
        <f t="shared" si="6"/>
        <v>0</v>
      </c>
      <c r="AC23" s="1240">
        <f t="shared" si="6"/>
        <v>0</v>
      </c>
      <c r="AD23" s="1240">
        <f t="shared" si="6"/>
        <v>0</v>
      </c>
      <c r="AE23" s="1240">
        <f t="shared" si="6"/>
        <v>381</v>
      </c>
      <c r="AF23" s="1240">
        <f t="shared" si="6"/>
        <v>0</v>
      </c>
      <c r="AG23" s="1240">
        <f t="shared" si="6"/>
        <v>0</v>
      </c>
      <c r="AH23" s="1240">
        <f t="shared" si="6"/>
        <v>0</v>
      </c>
      <c r="AI23" s="1240">
        <f t="shared" si="6"/>
        <v>0</v>
      </c>
      <c r="AJ23" s="1240">
        <f t="shared" si="6"/>
        <v>530</v>
      </c>
      <c r="AK23" s="1240">
        <f t="shared" si="6"/>
        <v>1678</v>
      </c>
      <c r="AL23" s="1240">
        <f t="shared" si="6"/>
        <v>0</v>
      </c>
      <c r="AM23" s="1240">
        <f t="shared" si="6"/>
        <v>0</v>
      </c>
      <c r="AN23" s="1240">
        <f t="shared" si="6"/>
        <v>0</v>
      </c>
      <c r="AO23" s="1242">
        <f>IF(ISNUMBER(((NºAsuntos!I23/NºAsuntos!G23)*11)/factor_trimestre),((NºAsuntos!I23/NºAsuntos!G23)*11)/factor_trimestre," - ")</f>
        <v>2.3839441535776618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2581</v>
      </c>
      <c r="G31" s="1117">
        <f t="shared" si="12"/>
        <v>2675</v>
      </c>
      <c r="H31" s="1118">
        <f t="shared" si="12"/>
        <v>0</v>
      </c>
      <c r="I31" s="1117">
        <f t="shared" si="12"/>
        <v>0</v>
      </c>
      <c r="J31" s="1119">
        <f t="shared" si="12"/>
        <v>0</v>
      </c>
      <c r="K31" s="1117">
        <f t="shared" si="12"/>
        <v>0</v>
      </c>
      <c r="L31" s="1120">
        <f t="shared" si="12"/>
        <v>0</v>
      </c>
      <c r="M31" s="1117">
        <f t="shared" si="12"/>
        <v>0</v>
      </c>
      <c r="N31" s="1118">
        <f t="shared" si="12"/>
        <v>856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3474</v>
      </c>
      <c r="Z31" s="1124">
        <f t="shared" si="13"/>
        <v>890</v>
      </c>
      <c r="AA31" s="1125">
        <f t="shared" si="13"/>
        <v>2770</v>
      </c>
      <c r="AB31" s="1125">
        <f t="shared" si="13"/>
        <v>0</v>
      </c>
      <c r="AC31" s="1125">
        <f t="shared" si="13"/>
        <v>0</v>
      </c>
      <c r="AD31" s="1126">
        <f t="shared" si="13"/>
        <v>0</v>
      </c>
      <c r="AE31" s="1126">
        <f t="shared" si="13"/>
        <v>4446</v>
      </c>
      <c r="AF31" s="1127">
        <f t="shared" si="13"/>
        <v>0</v>
      </c>
      <c r="AG31" s="1128">
        <f t="shared" si="13"/>
        <v>0</v>
      </c>
      <c r="AH31" s="1129">
        <f t="shared" si="13"/>
        <v>0</v>
      </c>
      <c r="AI31" s="1127">
        <f t="shared" si="13"/>
        <v>0</v>
      </c>
      <c r="AJ31" s="1117">
        <f t="shared" si="13"/>
        <v>1708</v>
      </c>
      <c r="AK31" s="1117">
        <f t="shared" si="13"/>
        <v>3673</v>
      </c>
      <c r="AL31" s="1117">
        <f t="shared" si="13"/>
        <v>0</v>
      </c>
      <c r="AM31" s="1130">
        <f t="shared" si="13"/>
        <v>0</v>
      </c>
      <c r="AN31" s="1120">
        <f>IF(ISNUMBER(Datos!K31/Datos!J31),Datos!K31/Datos!J31," - ")</f>
        <v>1.0564117911117761</v>
      </c>
      <c r="AO31" s="1120">
        <f>IF(ISNUMBER(FIND("06",Criterios!A8,1)),(IF(ISNUMBER(((Datos!R31/Datos!Q31)*11)/factor_trimestre),((Datos!R31/Datos!Q31)*11)/factor_trimestre," - ")),(IF(ISNUMBER(((Datos!L31/Datos!K31)*11)/factor_trimestre),((Datos!L31/Datos!K31)*11)/factor_trimestre," - ")))</f>
        <v>3.0692634560906522</v>
      </c>
      <c r="AP31" s="1131" t="str">
        <f>IF(ISNUMBER(Datos!CI31/Datos!CJ31),Datos!CI31/Datos!CJ31," - ")</f>
        <v xml:space="preserve"> - </v>
      </c>
      <c r="AQ31" s="1131">
        <f>IF(OR(ISNUMBER(FIND("01",Criterios!A8,1)),ISNUMBER(FIND("02",Criterios!A8,1)),ISNUMBER(FIND("03",Criterios!A8,1)),ISNUMBER(FIND("04",Criterios!A8,1))),(J31-Y31+K31)/(F31-K31),(I31-Y31+K31)/(F31-K31))</f>
        <v>-1.345989926385122</v>
      </c>
      <c r="AR31" s="1131">
        <f>IF(ISNUMBER((Datos!P31-Datos!Q31+O31)/(Datos!R31-Datos!P31+Datos!Q31-O31)),(Datos!P31-Datos!Q31+O31)/(Datos!R31-Datos!P31+Datos!Q31-O31)," - ")</f>
        <v>-7.5892857142857142E-3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668.75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1231.5166607538388</v>
      </c>
      <c r="G33" s="674">
        <f>IF(ISNUMBER(STDEV(G8:G30)),STDEV(G8:G30),"-")</f>
        <v>1177.9256282610909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448.6686973703425</v>
      </c>
      <c r="AK33" s="276"/>
      <c r="AL33" s="276">
        <f>IF(ISNUMBER(STDEV(AL8:AL30)),STDEV(AL8:AL30),"-")</f>
        <v>0</v>
      </c>
      <c r="AM33" s="278">
        <f>IF(ISNUMBER(STDEV(AM8:AM30)),STDEV(AM8:AM30),"-")</f>
        <v>0</v>
      </c>
      <c r="AN33" s="660">
        <f>IF(ISNUMBER(STDEV(AN8:AN30)),STDEV(AN8:AN30),"-")</f>
        <v>0</v>
      </c>
      <c r="AO33" s="661">
        <f>IF(ISNUMBER(STDEV(AO8:AO30)),STDEV(AO8:AO30),"-")</f>
        <v>0.96527852147922821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uqu6ht5ge2aPc8Z0mxObZaQRnI0EZ8Euiy0qX0tEzr089evoCTRaFJLA7RO9mgeFUp4zjLXkRd20ZKiEVNEFQ==" saltValue="4YZ79cR1GDRz/i5ynT3L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wxaXGT6VXIgpFsMJbq3LGqvAZua1KkVgxoiBP+Wx+kbE8JmtnSmoMJQA4K2uFTpgjWRdWgL+DAZEZFZRl1A9A==" saltValue="puExnNfJIhHioNWIVW0Y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2NApElZ3RMNZmXDmcGn7rbJW2mEBqPLxEZwlAVpxoYCAk22OvRawrxwrda4N2B7Do9+GphN4JqcbUowM75wqg==" saltValue="aeRrTNbzkIb0psEy/2x7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GIRONA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0.29837892603850052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0.21098576196498303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4iH1MdNlxFZM+BTGpFl9v7EnL/1J7aYh53Gp5YSxlTM2gF9Zx2T/IxCyZfzE98agR4e6jAYD+3kGHjoNiH5iw==" saltValue="TBDYqZo6g9sZYkF5nAgR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d3Er3siCqmE/ed8W/z8bmsmOZ94k5a2qZ/mD/Mk9qHxDtdMzp8TcjCLKpbc/uWn+54WpGMtCKJFbrt8PjxfEhA==" saltValue="mHqPEL6yXMgL5GcUczIs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GIRONA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4267</v>
      </c>
      <c r="D9" s="452">
        <f>IF(ISNUMBER(C9/Datos!BH9),C9/Datos!BH9," - ")</f>
        <v>853.4</v>
      </c>
      <c r="E9" s="451">
        <f>IF(ISNUMBER(IF(J_V="SI",Datos!J9,Datos!J9+Datos!Z9)),IF(J_V="SI",Datos!J9,Datos!J9+Datos!Z9)," - ")</f>
        <v>2855</v>
      </c>
      <c r="F9" s="452">
        <f>IF(ISNUMBER(E9/B9),E9/B9," - ")</f>
        <v>571</v>
      </c>
      <c r="G9" s="451">
        <f>IF(ISNUMBER(IF(J_V="SI",Datos!K9,Datos!K9+Datos!AA9)),IF(J_V="SI",Datos!K9,Datos!K9+Datos!AA9)," - ")</f>
        <v>3300</v>
      </c>
      <c r="H9" s="452">
        <f>IF(ISNUMBER(G9/B9),G9/B9," - ")</f>
        <v>660</v>
      </c>
      <c r="I9" s="451">
        <f>IF(ISNUMBER(IF(J_V="SI",Datos!L9,Datos!L9+Datos!AB9)),IF(J_V="SI",Datos!L9,Datos!L9+Datos!AB9)," - ")</f>
        <v>4084</v>
      </c>
      <c r="J9" s="452">
        <f>IF(ISNUMBER(I9/B9),I9/B9," - ")</f>
        <v>816.8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34</v>
      </c>
      <c r="F10" s="452">
        <f>IF(ISNUMBER(E10/B10),E10/B10," - ")</f>
        <v>34</v>
      </c>
      <c r="G10" s="451">
        <f>IF(ISNUMBER(Datos!K10),Datos!K10," - ")</f>
        <v>36</v>
      </c>
      <c r="H10" s="452">
        <f>IF(ISNUMBER(G10/B10),G10/B10," - ")</f>
        <v>36</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644</v>
      </c>
      <c r="D11" s="452">
        <f>IF(ISNUMBER(C11/Datos!BH11),C11/Datos!BH11," - ")</f>
        <v>322</v>
      </c>
      <c r="E11" s="451">
        <f>IF(ISNUMBER(IF(J_V="SI",Datos!J11,Datos!J11+Datos!Z11)),IF(J_V="SI",Datos!J11,Datos!J11+Datos!Z11)," - ")</f>
        <v>582</v>
      </c>
      <c r="F11" s="452">
        <f>IF(ISNUMBER(E11/B11),E11/B11," - ")</f>
        <v>291</v>
      </c>
      <c r="G11" s="451">
        <f>IF(ISNUMBER(IF(J_V="SI",Datos!K11,Datos!K11+Datos!AA11)),IF(J_V="SI",Datos!K11,Datos!K11+Datos!AA11)," - ")</f>
        <v>612</v>
      </c>
      <c r="H11" s="452">
        <f>IF(ISNUMBER(G11/B11),G11/B11," - ")</f>
        <v>306</v>
      </c>
      <c r="I11" s="451">
        <f>IF(ISNUMBER(IF(J_V="SI",Datos!L11,Datos!L11+Datos!AB11)),IF(J_V="SI",Datos!L11,Datos!L11+Datos!AB11)," - ")</f>
        <v>614</v>
      </c>
      <c r="J11" s="452">
        <f>IF(ISNUMBER(I11/B11),I11/B11," - ")</f>
        <v>307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4951</v>
      </c>
      <c r="D14" s="1147" t="str">
        <f>IF(ISNUMBER(C14/Datos!BI14),C14/Datos!BI14," - ")</f>
        <v xml:space="preserve"> - </v>
      </c>
      <c r="E14" s="1146">
        <f>SUBTOTAL(9,E8:E13)</f>
        <v>3471</v>
      </c>
      <c r="F14" s="1147">
        <f>IF(ISNUMBER(E14/B14),E14/B14," - ")</f>
        <v>433.875</v>
      </c>
      <c r="G14" s="1146">
        <f>SUBTOTAL(9,G8:G13)</f>
        <v>3948</v>
      </c>
      <c r="H14" s="1147">
        <f>IF(ISNUMBER(G14/B14),G14/B14," - ")</f>
        <v>493.5</v>
      </c>
      <c r="I14" s="1146">
        <f>SUBTOTAL(9,I8:I13)</f>
        <v>4736</v>
      </c>
      <c r="J14" s="1147">
        <f>IF(ISNUMBER(I14/B14),I14/B14," - ")</f>
        <v>592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2516</v>
      </c>
      <c r="D16" s="452">
        <f>IF(ISNUMBER(C16/Datos!BH16),C16/Datos!BH16," - ")</f>
        <v>629</v>
      </c>
      <c r="E16" s="451">
        <f>IF(ISNUMBER(IF(D_I="SI",Datos!J16,Datos!J16+Datos!AD16)),IF(D_I="SI",Datos!J16,Datos!J16+Datos!AD16)," - ")</f>
        <v>3239</v>
      </c>
      <c r="F16" s="452">
        <f>IF(ISNUMBER(E16/B16),E16/B16," - ")</f>
        <v>809.75</v>
      </c>
      <c r="G16" s="451">
        <f>IF(ISNUMBER(IF(D_I="SI",Datos!K16,Datos!K16+Datos!AE16)),IF(D_I="SI",Datos!K16,Datos!K16+Datos!AE16)," - ")</f>
        <v>3136</v>
      </c>
      <c r="H16" s="452">
        <f>IF(ISNUMBER(G16/B16),G16/B16," - ")</f>
        <v>784</v>
      </c>
      <c r="I16" s="451">
        <f>IF(ISNUMBER(IF(D_I="SI",Datos!L16,Datos!L16+Datos!AF16)),IF(D_I="SI",Datos!L16,Datos!L16+Datos!AF16)," - ")</f>
        <v>2642</v>
      </c>
      <c r="J16" s="452">
        <f>IF(ISNUMBER(I16/B16),I16/B16," - ")</f>
        <v>660.5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117</v>
      </c>
      <c r="D18" s="452">
        <f>IF(ISNUMBER(C18/Datos!BH18),C18/Datos!BH18," - ")</f>
        <v>117</v>
      </c>
      <c r="E18" s="451">
        <f>IF(ISNUMBER(IF(D_I="SI",Datos!J18,Datos!J18+Datos!AD18)),IF(D_I="SI",Datos!J18,Datos!J18+Datos!AD18)," - ")</f>
        <v>273</v>
      </c>
      <c r="F18" s="452">
        <f>IF(ISNUMBER(E18/B18),E18/B18," - ")</f>
        <v>273</v>
      </c>
      <c r="G18" s="451">
        <f>IF(ISNUMBER(IF(D_I="SI",Datos!K18,Datos!K18+Datos!AE18)),IF(D_I="SI",Datos!K18,Datos!K18+Datos!AE18)," - ")</f>
        <v>302</v>
      </c>
      <c r="H18" s="452">
        <f>IF(ISNUMBER(G18/B18),G18/B18," - ")</f>
        <v>302</v>
      </c>
      <c r="I18" s="451">
        <f>IF(ISNUMBER(IF(D_I="SI",Datos!L18,Datos!L18+Datos!AF18)),IF(D_I="SI",Datos!L18,Datos!L18+Datos!AF18)," - ")</f>
        <v>88</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2635</v>
      </c>
      <c r="D23" s="1147" t="str">
        <f>IF(ISNUMBER(C23/Datos!BI23),C23/Datos!BI23," - ")</f>
        <v xml:space="preserve"> - </v>
      </c>
      <c r="E23" s="1146">
        <f>SUBTOTAL(9,E15:E22)</f>
        <v>3512</v>
      </c>
      <c r="F23" s="1147">
        <f>IF(ISNUMBER(E23/B23),E23/B23," - ")</f>
        <v>702.4</v>
      </c>
      <c r="G23" s="1146">
        <f>SUBTOTAL(9,G15:G22)</f>
        <v>3438</v>
      </c>
      <c r="H23" s="1147">
        <f>IF(ISNUMBER(G23/B23),G23/B23," - ")</f>
        <v>687.6</v>
      </c>
      <c r="I23" s="1146">
        <f>SUBTOTAL(9,I15:I22)</f>
        <v>2732</v>
      </c>
      <c r="J23" s="1147">
        <f>IF(ISNUMBER(I23/B23),I23/B23," - ")</f>
        <v>546.4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7586</v>
      </c>
      <c r="D31" s="1085" t="str">
        <f>IF(ISNUMBER(C31/Datos!BI31),C31/Datos!BI31," - ")</f>
        <v xml:space="preserve"> - </v>
      </c>
      <c r="E31" s="1084">
        <f>SUBTOTAL(9,E9:E30)</f>
        <v>6983</v>
      </c>
      <c r="F31" s="1085">
        <f>IF(ISNUMBER(E31/B31),E31/B31," - ")</f>
        <v>581.91666666666663</v>
      </c>
      <c r="G31" s="1084">
        <f>SUBTOTAL(9,G9:G30)</f>
        <v>7386</v>
      </c>
      <c r="H31" s="1085">
        <f>IF(ISNUMBER(G31/B31),G31/B31," - ")</f>
        <v>615.5</v>
      </c>
      <c r="I31" s="1084">
        <f>SUBTOTAL(9,I9:I30)</f>
        <v>7468</v>
      </c>
      <c r="J31" s="1085">
        <f>IF(ISNUMBER(I31/B31),I31/B31," - ")</f>
        <v>622.33333333333337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IejqNRewylbgruZeAugpsL1UPa9Oqn1NED44yMcXLOxSU9jOQbX04A6dyIio1C12zbJ29+8l6jICPUlK0Ka2A==" saltValue="juuRTDwPmOhHgssv4YDg2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GIRONA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36</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19</v>
      </c>
      <c r="AN10" s="914">
        <f>IF(ISNUMBER(Datos!BW10+DatosP!BW18),Datos!BW10+DatosP!BW18," - ")</f>
        <v>0</v>
      </c>
      <c r="AO10" s="915">
        <f>IF(ISNUMBER(Datos!BX10+DatosP!BX18),Datos!BX10+DatosP!BX18," - ")</f>
        <v>0</v>
      </c>
      <c r="AP10" s="917">
        <f>IF(ISNUMBER(((Datos!L10/Datos!K10)*11)/factor_trimestre),((Datos!L10/Datos!K10)*11)/factor_trimestre," - ")</f>
        <v>3.1666666666666665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36</v>
      </c>
      <c r="AC14" s="1257">
        <f t="shared" si="1"/>
        <v>0</v>
      </c>
      <c r="AD14" s="1257">
        <f t="shared" si="1"/>
        <v>0</v>
      </c>
      <c r="AE14" s="1257">
        <f t="shared" si="1"/>
        <v>0</v>
      </c>
      <c r="AF14" s="1257">
        <f t="shared" si="1"/>
        <v>38</v>
      </c>
      <c r="AG14" s="1257">
        <f t="shared" si="1"/>
        <v>0</v>
      </c>
      <c r="AH14" s="1257">
        <f t="shared" si="1"/>
        <v>0</v>
      </c>
      <c r="AI14" s="1257">
        <f t="shared" si="1"/>
        <v>0</v>
      </c>
      <c r="AJ14" s="1257">
        <f t="shared" si="1"/>
        <v>0</v>
      </c>
      <c r="AK14" s="1257">
        <f t="shared" si="1"/>
        <v>0</v>
      </c>
      <c r="AL14" s="1257">
        <f t="shared" si="1"/>
        <v>12</v>
      </c>
      <c r="AM14" s="1257">
        <f t="shared" si="1"/>
        <v>19</v>
      </c>
      <c r="AN14" s="1257">
        <f t="shared" si="1"/>
        <v>0</v>
      </c>
      <c r="AO14" s="1257">
        <f t="shared" si="1"/>
        <v>0</v>
      </c>
      <c r="AP14" s="1262">
        <f>IF(ISNUMBER(((Datos!L14/Datos!K14)*11)/factor_trimestre),((Datos!L14/Datos!K14)*11)/factor_trimestre," - ")</f>
        <v>3.719768083931529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2.3839441535776618</v>
      </c>
      <c r="AQ23" s="1262">
        <f>IF(ISNUMBER(((Datos!M23/Datos!L23)*11)/factor_trimestre),((Datos!M23/Datos!L23)*11)/factor_trimestre," - ")</f>
        <v>0.58199121522693997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0.10115606936416185</v>
      </c>
      <c r="AW23" s="1265">
        <f>IF(ISNUMBER((Datos!Q23-Datos!R23)/(Datos!S23-Datos!Q23+Datos!R23)),(Datos!Q23-Datos!R23)/(Datos!S23-Datos!Q23+Datos!R23)," - ")</f>
        <v>-0.14057198254968492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36</v>
      </c>
      <c r="AC31" s="1284">
        <f t="shared" si="9"/>
        <v>0</v>
      </c>
      <c r="AD31" s="1284">
        <f t="shared" si="9"/>
        <v>0</v>
      </c>
      <c r="AE31" s="1284">
        <f t="shared" si="9"/>
        <v>0</v>
      </c>
      <c r="AF31" s="1285">
        <f t="shared" si="9"/>
        <v>38</v>
      </c>
      <c r="AG31" s="1285">
        <f t="shared" si="9"/>
        <v>0</v>
      </c>
      <c r="AH31" s="1285">
        <f t="shared" si="9"/>
        <v>0</v>
      </c>
      <c r="AI31" s="1285">
        <f t="shared" si="9"/>
        <v>0</v>
      </c>
      <c r="AJ31" s="1286">
        <f t="shared" si="9"/>
        <v>0</v>
      </c>
      <c r="AK31" s="1286">
        <f t="shared" si="9"/>
        <v>0</v>
      </c>
      <c r="AL31" s="1278">
        <f t="shared" si="9"/>
        <v>12</v>
      </c>
      <c r="AM31" s="1278">
        <f t="shared" si="9"/>
        <v>19</v>
      </c>
      <c r="AN31" s="1278">
        <f t="shared" si="9"/>
        <v>0</v>
      </c>
      <c r="AO31" s="1278">
        <f t="shared" si="9"/>
        <v>0</v>
      </c>
      <c r="AP31" s="1278">
        <f>IF(ISNUMBER(((Datos!L31/Datos!K31)*11)/factor_trimestre),((Datos!L31/Datos!K31)*11)/factor_trimestre," - ")</f>
        <v>3.0692634560906522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-7.5892857142857142E-3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19.718012070185981</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0.67119312709815981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thQeFzm7l1TvANCypXKWzXcntdIQhRY8ly60AqzZCAt/1eo5DKeqgWgl63RVEut6p0pdgegjO9nulHLuNpNhg==" saltValue="SLmnV627X/+JbLQLsBg1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GIRONA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X3WXigVQ8HeUaoM8B5IRof4JxwJc0oQfHPG2vhV4DA0SbtOEswitwnsbFgLWAvYRpF4WD6EV2XjnfztjuiKhA==" saltValue="+eEYqOueu24VV5xCbeP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GIRONA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1004</v>
      </c>
      <c r="E9" s="452">
        <f t="shared" ref="E9:E14" si="0">IF(ISNUMBER(D9/B9),D9/B9," - ")</f>
        <v>200.8</v>
      </c>
      <c r="F9" s="451">
        <f>IF(ISNUMBER(Datos!N9),Datos!N9," - ")</f>
        <v>1442</v>
      </c>
      <c r="G9" s="452">
        <f t="shared" ref="G9:G14" si="1">IF(ISNUMBER(F9/B9),F9/B9," - ")</f>
        <v>288.39999999999998</v>
      </c>
      <c r="H9" s="451">
        <f>IF(ISNUMBER(Datos!O9),Datos!O9," - ")</f>
        <v>1344</v>
      </c>
      <c r="I9" s="452">
        <f>IF(ISNUMBER(H9/B9),H9/B9," - ")</f>
        <v>268.8</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19</v>
      </c>
      <c r="G10" s="452">
        <f>IF(ISNUMBER(F10/B10),F10/B10," - ")</f>
        <v>19</v>
      </c>
      <c r="H10" s="451">
        <f>IF(ISNUMBER(Datos!O10),Datos!O10," - ")</f>
        <v>7</v>
      </c>
      <c r="I10" s="452">
        <f t="shared" ref="I10:I13" si="2">IF(ISNUMBER(H10/B10),H10/B10," - ")</f>
        <v>7</v>
      </c>
    </row>
    <row r="11" spans="1:9">
      <c r="A11" s="450" t="str">
        <f>Datos!A11</f>
        <v xml:space="preserve">Jdos. Familia                                   </v>
      </c>
      <c r="B11" s="480">
        <f>Datos!AO11</f>
        <v>2</v>
      </c>
      <c r="C11" s="458">
        <f>Datos!AQ11</f>
        <v>2</v>
      </c>
      <c r="D11" s="451">
        <f>IF(ISNUMBER(Datos!M11),Datos!M11," - ")</f>
        <v>162</v>
      </c>
      <c r="E11" s="452">
        <f t="shared" si="0"/>
        <v>81</v>
      </c>
      <c r="F11" s="451">
        <f>IF(ISNUMBER(Datos!N11),Datos!N11," - ")</f>
        <v>534</v>
      </c>
      <c r="G11" s="452">
        <f t="shared" si="1"/>
        <v>267</v>
      </c>
      <c r="H11" s="451">
        <f>IF(ISNUMBER(Datos!O11),Datos!O11," - ")</f>
        <v>134</v>
      </c>
      <c r="I11" s="452">
        <f t="shared" si="2"/>
        <v>67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1178</v>
      </c>
      <c r="E14" s="1147">
        <f t="shared" si="0"/>
        <v>147.25</v>
      </c>
      <c r="F14" s="1146">
        <f>SUBTOTAL(9,F9:F13)</f>
        <v>1995</v>
      </c>
      <c r="G14" s="1147">
        <f t="shared" si="1"/>
        <v>249.375</v>
      </c>
      <c r="H14" s="1146">
        <f>SUBTOTAL(9,H9:H13)</f>
        <v>1485</v>
      </c>
      <c r="I14" s="1147">
        <f>IF(ISNUMBER(H14/B14),H14/B14," - ")</f>
        <v>185.625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525</v>
      </c>
      <c r="E16" s="452">
        <f t="shared" ref="E16:E23" si="3">IF(ISNUMBER(D16/B16),D16/B16," - ")</f>
        <v>131.25</v>
      </c>
      <c r="F16" s="451">
        <f>IF(ISNUMBER(Datos!N16),Datos!N16," - ")</f>
        <v>1507</v>
      </c>
      <c r="G16" s="452">
        <f t="shared" ref="G16:G23" si="4">IF(ISNUMBER(F16/B16),F16/B16," - ")</f>
        <v>376.75</v>
      </c>
      <c r="H16" s="451">
        <f>IF(ISNUMBER(Datos!O16),Datos!O16," - ")</f>
        <v>60</v>
      </c>
      <c r="I16" s="452">
        <f t="shared" ref="I16:I22" si="5">IF(ISNUMBER(H16/B16),H16/B16," - ")</f>
        <v>15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5</v>
      </c>
      <c r="E18" s="452">
        <f>IF(ISNUMBER(D18/B18),D18/B18," - ")</f>
        <v>5</v>
      </c>
      <c r="F18" s="451">
        <f>IF(ISNUMBER(Datos!N18),Datos!N18," - ")</f>
        <v>171</v>
      </c>
      <c r="G18" s="452">
        <f>IF(ISNUMBER(F18/B18),F18/B18," - ")</f>
        <v>171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530</v>
      </c>
      <c r="E23" s="1147">
        <f t="shared" si="3"/>
        <v>106</v>
      </c>
      <c r="F23" s="1146">
        <f>SUBTOTAL(9,F16:F22)</f>
        <v>1678</v>
      </c>
      <c r="G23" s="1147">
        <f t="shared" si="4"/>
        <v>335.6</v>
      </c>
      <c r="H23" s="1146">
        <f>SUBTOTAL(9,H16:H22)</f>
        <v>60</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1708</v>
      </c>
      <c r="E31" s="1085">
        <f>IF(ISNUMBER(D31/B31),D31/B31," - ")</f>
        <v>142.33333333333334</v>
      </c>
      <c r="F31" s="1084">
        <f>SUBTOTAL(9,F8:F30)</f>
        <v>3673</v>
      </c>
      <c r="G31" s="1085">
        <f>IF(ISNUMBER(F31/B31),F31/B31," - ")</f>
        <v>306.08333333333331</v>
      </c>
      <c r="H31" s="1084">
        <f>SUBTOTAL(9,H8:H30)</f>
        <v>1545</v>
      </c>
      <c r="I31" s="1085">
        <f>IF(ISNUMBER(H31/B31),H31/B31," - ")</f>
        <v>128.75</v>
      </c>
    </row>
    <row r="34" spans="1:1">
      <c r="A34" s="439" t="str">
        <f>Criterios!A4</f>
        <v>Fecha Informe: 05 may. 2023</v>
      </c>
    </row>
    <row r="39" spans="1:1">
      <c r="A39" s="462"/>
    </row>
  </sheetData>
  <sheetProtection algorithmName="SHA-512" hashValue="HFrXEfCIhwROdy1AjH/llzdvxfhF43Xkgj2vg/LeljC6lmL50+r2kCbYrFzRbYWoqXfBfjg4jL/8g1AAm7IBRA==" saltValue="u3GP0CFTldklrUR7/bYp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GIRONA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690</v>
      </c>
      <c r="C9" s="489">
        <f>IF(ISNUMBER(Datos!Q9),Datos!Q9," - ")</f>
        <v>724</v>
      </c>
      <c r="D9" s="456">
        <f>IF(ISNUMBER(Datos!R9),Datos!R9," - ")</f>
        <v>3439</v>
      </c>
    </row>
    <row r="10" spans="1:4">
      <c r="A10" s="450" t="str">
        <f>Datos!A10</f>
        <v>Jdos. Violencia contra la mujer</v>
      </c>
      <c r="B10" s="488">
        <f>IF(ISNUMBER(Datos!P10),Datos!P10," - ")</f>
        <v>5</v>
      </c>
      <c r="C10" s="489">
        <f>IF(ISNUMBER(Datos!Q10),Datos!Q10," - ")</f>
        <v>6</v>
      </c>
      <c r="D10" s="456">
        <f>IF(ISNUMBER(Datos!R10),Datos!R10," - ")</f>
        <v>89</v>
      </c>
    </row>
    <row r="11" spans="1:4">
      <c r="A11" s="450" t="str">
        <f>Datos!A11</f>
        <v xml:space="preserve">Jdos. Familia                                   </v>
      </c>
      <c r="B11" s="488">
        <f>IF(ISNUMBER(Datos!P11),Datos!P11," - ")</f>
        <v>35</v>
      </c>
      <c r="C11" s="489">
        <f>IF(ISNUMBER(Datos!Q11),Datos!Q11," - ")</f>
        <v>69</v>
      </c>
      <c r="D11" s="456">
        <f>IF(ISNUMBER(Datos!R11),Datos!R11," - ")</f>
        <v>537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730</v>
      </c>
      <c r="C14" s="1150">
        <f>SUBTOTAL(9,C9:C13)</f>
        <v>799</v>
      </c>
      <c r="D14" s="1148">
        <f>SUBTOTAL(9,D9:D13)</f>
        <v>4065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126</v>
      </c>
      <c r="C16" s="489">
        <f>IF(ISNUMBER(Datos!Q16),Datos!Q16," - ")</f>
        <v>90</v>
      </c>
      <c r="D16" s="456">
        <f>IF(ISNUMBER(Datos!R16),Datos!R16," - ")</f>
        <v>375</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0</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126</v>
      </c>
      <c r="C23" s="1150">
        <f>SUBTOTAL(9,C16:C22)</f>
        <v>91</v>
      </c>
      <c r="D23" s="1148">
        <f>SUBTOTAL(9,D16:D22)</f>
        <v>381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856</v>
      </c>
      <c r="C31" s="1089">
        <f>SUBTOTAL(9,C8:C30)</f>
        <v>890</v>
      </c>
      <c r="D31" s="1090">
        <f>SUBTOTAL(9,D8:D30)</f>
        <v>4446</v>
      </c>
    </row>
    <row r="32" spans="1:4" ht="7.5" customHeight="1"/>
    <row r="33" spans="1:1" ht="6" customHeight="1"/>
    <row r="34" spans="1:1">
      <c r="A34" s="439" t="str">
        <f>Criterios!A4</f>
        <v>Fecha Informe: 05 may. 2023</v>
      </c>
    </row>
    <row r="39" spans="1:1">
      <c r="A39" s="462"/>
    </row>
  </sheetData>
  <sheetProtection algorithmName="SHA-512" hashValue="hDN7gPvniDiVKNryQWmAI7jaWbxS8g1fyzuu4kwxmuP0PgTdTykiqaLOfzAmoMoWIfxAshW1PfLme66XvSXiHw==" saltValue="FjsnVYwWivOxNUD3EYLI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GIRONA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0.20197183098591548</v>
      </c>
      <c r="C9" s="515">
        <f>IF(ISNUMBER(
   IF(J_V="SI",(Datos!J9-Datos!T9)/Datos!T9,(Datos!J9+Datos!Z9-(Datos!T9+Datos!AH9))/(Datos!T9+Datos!AH9))
     ),IF(J_V="SI",(Datos!J9-Datos!T9)/Datos!T9,(Datos!J9+Datos!Z9-(Datos!T9+Datos!AH9))/(Datos!T9+Datos!AH9))," - ")</f>
        <v>1.9278828989646554E-2</v>
      </c>
      <c r="D9" s="515">
        <f>IF(ISNUMBER(
   IF(J_V="SI",(Datos!K9-Datos!U9)/Datos!U9,(Datos!K9+Datos!AA9-(Datos!U9+Datos!AI9))/(Datos!U9+Datos!AI9))
     ),IF(J_V="SI",(Datos!K9-Datos!U9)/Datos!U9,(Datos!K9+Datos!AA9-(Datos!U9+Datos!AI9))/(Datos!U9+Datos!AI9))," - ")</f>
        <v>0.21816168327796234</v>
      </c>
      <c r="E9" s="515">
        <f>IF(ISNUMBER(
   IF(J_V="SI",(Datos!L9-Datos!V9)/Datos!V9,(Datos!L9+Datos!AB9-(Datos!V9+Datos!AJ9))/(Datos!V9+Datos!AJ9))
     ),IF(J_V="SI",(Datos!L9-Datos!V9)/Datos!V9,(Datos!L9+Datos!AB9-(Datos!V9+Datos!AJ9))/(Datos!V9+Datos!AJ9))," - ")</f>
        <v>0.1213618890719385</v>
      </c>
      <c r="F9" s="515">
        <f>IF(ISNUMBER((Datos!M9-Datos!W9)/Datos!W9),(Datos!M9-Datos!W9)/Datos!W9," - ")</f>
        <v>0.41607898448519043</v>
      </c>
      <c r="G9" s="516">
        <f>IF(ISNUMBER((Datos!N9-Datos!X9)/Datos!X9),(Datos!N9-Datos!X9)/Datos!X9," - ")</f>
        <v>0.20669456066945607</v>
      </c>
      <c r="H9" s="514">
        <f>IF(ISNUMBER(((NºAsuntos!G9/NºAsuntos!E9)-Datos!BD9)/Datos!BD9),((NºAsuntos!G9/NºAsuntos!E9)-Datos!BD9)/Datos!BD9," - ")</f>
        <v>0.19512114706184686</v>
      </c>
      <c r="I9" s="515">
        <f>IF(ISNUMBER(((NºAsuntos!I9/NºAsuntos!G9)-Datos!BE9)/Datos!BE9),((NºAsuntos!I9/NºAsuntos!G9)-Datos!BE9)/Datos!BE9," - ")</f>
        <v>-7.9463831061854187E-2</v>
      </c>
      <c r="J9" s="521">
        <f>IF(ISNUMBER((('Resol  Asuntos'!D9/NºAsuntos!G9)-Datos!BF9)/Datos!BF9),(('Resol  Asuntos'!D9/NºAsuntos!G9)-Datos!BF9)/Datos!BF9," - ")</f>
        <v>-0.31029897299353365</v>
      </c>
      <c r="K9" s="522">
        <f>IF(ISNUMBER((((NºAsuntos!C9+NºAsuntos!E9)/NºAsuntos!G9)-Datos!BG9)/Datos!BG9),(((NºAsuntos!C9+NºAsuntos!E9)/NºAsuntos!G9)-Datos!BG9)/Datos!BG9," - ")</f>
        <v>-7.9434018980547014E-2</v>
      </c>
    </row>
    <row r="10" spans="1:11">
      <c r="A10" s="450" t="str">
        <f>Datos!A10</f>
        <v>Jdos. Violencia contra la mujer</v>
      </c>
      <c r="B10" s="514">
        <f>IF(ISNUMBER((Datos!I10-Datos!S10)/Datos!S10),(Datos!I10-Datos!S10)/Datos!S10," - ")</f>
        <v>-0.39393939393939392</v>
      </c>
      <c r="C10" s="515">
        <f>IF(ISNUMBER((Datos!J10-Datos!T10)/Datos!T10),(Datos!J10-Datos!T10)/Datos!T10," - ")</f>
        <v>0.47826086956521741</v>
      </c>
      <c r="D10" s="515">
        <f>IF(ISNUMBER((Datos!K10-Datos!U10)/Datos!U10),(Datos!K10-Datos!U10)/Datos!U10," - ")</f>
        <v>-0.36842105263157893</v>
      </c>
      <c r="E10" s="515">
        <f>IF(ISNUMBER((Datos!L10-Datos!V10)/Datos!V10),(Datos!L10-Datos!V10)/Datos!V10," - ")</f>
        <v>0.1875</v>
      </c>
      <c r="F10" s="515">
        <f>IF(ISNUMBER((Datos!M10-Datos!W10)/Datos!W10),(Datos!M10-Datos!W10)/Datos!W10," - ")</f>
        <v>-0.42857142857142855</v>
      </c>
      <c r="G10" s="516">
        <f>IF(ISNUMBER((Datos!N10-Datos!X10)/Datos!X10),(Datos!N10-Datos!X10)/Datos!X10," - ")</f>
        <v>0.46153846153846156</v>
      </c>
      <c r="H10" s="514">
        <f>IF(ISNUMBER(((NºAsuntos!G10/NºAsuntos!E10)-Datos!BD10)/Datos!BD10),((NºAsuntos!G10/NºAsuntos!E10)-Datos!BD10)/Datos!BD10," - ")</f>
        <v>-0.5727554179566563</v>
      </c>
      <c r="I10" s="515">
        <f>IF(ISNUMBER(((NºAsuntos!I10/NºAsuntos!G10)-Datos!BE10)/Datos!BE10),((NºAsuntos!I10/NºAsuntos!G10)-Datos!BE10)/Datos!BE10," - ")</f>
        <v>0.88020833333333348</v>
      </c>
      <c r="J10" s="521">
        <f>IF(ISNUMBER((('Resol  Asuntos'!D10/NºAsuntos!G10)-Datos!BF10)/Datos!BF10),(('Resol  Asuntos'!D10/NºAsuntos!G10)-Datos!BF10)/Datos!BF10," - ")</f>
        <v>-9.5238095238095233E-2</v>
      </c>
      <c r="K10" s="522">
        <f>IF(ISNUMBER((((NºAsuntos!C10+NºAsuntos!E10)/NºAsuntos!G10)-Datos!BG10)/Datos!BG10),(((NºAsuntos!C10+NºAsuntos!E10)/NºAsuntos!G10)-Datos!BG10)/Datos!BG10," - ")</f>
        <v>0.31647940074906356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-3.4482758620689655E-2</v>
      </c>
      <c r="C11" s="515">
        <f>IF(ISNUMBER(
   IF(J_V="SI",(Datos!J11-Datos!T11)/Datos!T11,(Datos!J11+Datos!Z11-(Datos!T11+Datos!AH11))/(Datos!T11+Datos!AH11))
     ),IF(J_V="SI",(Datos!J11-Datos!T11)/Datos!T11,(Datos!J11+Datos!Z11-(Datos!T11+Datos!AH11))/(Datos!T11+Datos!AH11))," - ")</f>
        <v>-0.10872894333843798</v>
      </c>
      <c r="D11" s="515">
        <f>IF(ISNUMBER(
   IF(J_V="SI",(Datos!K11-Datos!U11)/Datos!U11,(Datos!K11+Datos!AA11-(Datos!U11+Datos!AI11))/(Datos!U11+Datos!AI11))
     ),IF(J_V="SI",(Datos!K11-Datos!U11)/Datos!U11,(Datos!K11+Datos!AA11-(Datos!U11+Datos!AI11))/(Datos!U11+Datos!AI11))," - ")</f>
        <v>-0.14763231197771587</v>
      </c>
      <c r="E11" s="515">
        <f>IF(ISNUMBER(
   IF(J_V="SI",(Datos!L11-Datos!V11)/Datos!V11,(Datos!L11+Datos!AB11-(Datos!V11+Datos!AJ11))/(Datos!V11+Datos!AJ11))
     ),IF(J_V="SI",(Datos!L11-Datos!V11)/Datos!V11,(Datos!L11+Datos!AB11-(Datos!V11+Datos!AJ11))/(Datos!V11+Datos!AJ11))," - ")</f>
        <v>1.9933554817275746E-2</v>
      </c>
      <c r="F11" s="515">
        <f>IF(ISNUMBER((Datos!M11-Datos!W11)/Datos!W11),(Datos!M11-Datos!W11)/Datos!W11," - ")</f>
        <v>-0.2669683257918552</v>
      </c>
      <c r="G11" s="516">
        <f>IF(ISNUMBER((Datos!N11-Datos!X11)/Datos!X11),(Datos!N11-Datos!X11)/Datos!X11," - ")</f>
        <v>0.45108695652173914</v>
      </c>
      <c r="H11" s="514">
        <f>IF(ISNUMBER(((NºAsuntos!G11/NºAsuntos!E11)-Datos!BD11)/Datos!BD11),((NºAsuntos!G11/NºAsuntos!E11)-Datos!BD11)/Datos!BD11," - ")</f>
        <v>-4.3649312236165666E-2</v>
      </c>
      <c r="I11" s="515">
        <f>IF(ISNUMBER(((NºAsuntos!I11/NºAsuntos!G11)-Datos!BE11)/Datos!BE11),((NºAsuntos!I11/NºAsuntos!G11)-Datos!BE11)/Datos!BE11," - ")</f>
        <v>0.19658871300458167</v>
      </c>
      <c r="J11" s="521">
        <f>IF(ISNUMBER((('Resol  Asuntos'!D11/NºAsuntos!G11)-Datos!BF11)/Datos!BF11),(('Resol  Asuntos'!D11/NºAsuntos!G11)-Datos!BF11)/Datos!BF11," - ")</f>
        <v>-0.48353580562659848</v>
      </c>
      <c r="K11" s="522">
        <f>IF(ISNUMBER((((NºAsuntos!C11+NºAsuntos!E11)/NºAsuntos!G11)-Datos!BG11)/Datos!BG11),(((NºAsuntos!C11+NºAsuntos!E11)/NºAsuntos!G11)-Datos!BG11)/Datos!BG11," - ")</f>
        <v>8.965636759754407E-2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0.15596544478169508</v>
      </c>
      <c r="C14" s="1152">
        <f>IF(ISNUMBER(
   IF(J_V="SI",(Datos!J14-Datos!T14)/Datos!T14,(Datos!J14+Datos!Z14-(Datos!T14+Datos!AH14))/(Datos!T14+Datos!AH14))
     ),IF(J_V="SI",(Datos!J14-Datos!T14)/Datos!T14,(Datos!J14+Datos!Z14-(Datos!T14+Datos!AH14))/(Datos!T14+Datos!AH14))," - ")</f>
        <v>-1.7256255392579811E-3</v>
      </c>
      <c r="D14" s="1152">
        <f>IF(ISNUMBER(
   IF(J_V="SI",(Datos!K14-Datos!U14)/Datos!U14,(Datos!K14+Datos!AA14-(Datos!U14+Datos!AI14))/(Datos!U14+Datos!AI14))
     ),IF(J_V="SI",(Datos!K14-Datos!U14)/Datos!U14,(Datos!K14+Datos!AA14-(Datos!U14+Datos!AI14))/(Datos!U14+Datos!AI14))," - ")</f>
        <v>0.13318025258323765</v>
      </c>
      <c r="E14" s="1152">
        <f>IF(ISNUMBER(
   IF(J_V="SI",(Datos!L14-Datos!V14)/Datos!V14,(Datos!L14+Datos!AB14-(Datos!V14+Datos!AJ14))/(Datos!V14+Datos!AJ14))
     ),IF(J_V="SI",(Datos!L14-Datos!V14)/Datos!V14,(Datos!L14+Datos!AB14-(Datos!V14+Datos!AJ14))/(Datos!V14+Datos!AJ14))," - ")</f>
        <v>0.10757717492984098</v>
      </c>
      <c r="F14" s="1153">
        <f>IF(ISNUMBER((Datos!M14-Datos!W14)/Datos!W14),(Datos!M14-Datos!W14)/Datos!W14," - ")</f>
        <v>0.23869610935856991</v>
      </c>
      <c r="G14" s="1154">
        <f>IF(ISNUMBER((Datos!N14-Datos!X14)/Datos!X14),(Datos!N14-Datos!X14)/Datos!X14," - ")</f>
        <v>0.26586294416243655</v>
      </c>
      <c r="H14" s="1154">
        <f>IF(ISNUMBER(((NºAsuntos!G14/NºAsuntos!E14)-Datos!BD14)/Datos!BD14),((NºAsuntos!G14/NºAsuntos!E14)-Datos!BD14)/Datos!BD14," - ")</f>
        <v>0.13513907756609561</v>
      </c>
      <c r="I14" s="1154">
        <f>IF(ISNUMBER(((NºAsuntos!I14/NºAsuntos!G14)-Datos!BE14)/Datos!BE14),((NºAsuntos!I14/NºAsuntos!G14)-Datos!BE14)/Datos!BE14," - ")</f>
        <v>-2.2594002670829297E-2</v>
      </c>
      <c r="J14" s="1154">
        <f>IF(ISNUMBER((('Resol  Asuntos'!D14/NºAsuntos!G14)-Datos!BF14)/Datos!BF14),(('Resol  Asuntos'!D14/NºAsuntos!G14)-Datos!BF14)/Datos!BF14," - ")</f>
        <v>-0.34371705914259099</v>
      </c>
      <c r="K14" s="1154">
        <f>IF(ISNUMBER((((NºAsuntos!C14+NºAsuntos!E14)/NºAsuntos!G14)-Datos!BG14)/Datos!BG14),(((NºAsuntos!C14+NºAsuntos!E14)/NºAsuntos!G14)-Datos!BG14)/Datos!BG14," - ")</f>
        <v>-4.224480096930195E-2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0.52762598664238014</v>
      </c>
      <c r="C16" s="515">
        <f>IF(ISNUMBER(
   IF(D_I="SI",(Datos!J16-Datos!T16)/Datos!T16,(Datos!J16+Datos!AD16-(Datos!T16+Datos!AL16))/(Datos!T16+Datos!AL16))
     ),IF(D_I="SI",(Datos!J16-Datos!T16)/Datos!T16,(Datos!J16+Datos!AD16-(Datos!T16+Datos!AL16))/(Datos!T16+Datos!AL16))," - ")</f>
        <v>7.8588078588078591E-2</v>
      </c>
      <c r="D16" s="515">
        <f>IF(ISNUMBER(
   IF(D_I="SI",(Datos!K16-Datos!U16)/Datos!U16,(Datos!K16+Datos!AE16-(Datos!U16+Datos!AM16))/(Datos!U16+Datos!AM16))
     ),IF(D_I="SI",(Datos!K16-Datos!U16)/Datos!U16,(Datos!K16+Datos!AE16-(Datos!U16+Datos!AM16))/(Datos!U16+Datos!AM16))," - ")</f>
        <v>7.6553381393752146E-2</v>
      </c>
      <c r="E16" s="515">
        <f>IF(ISNUMBER(
   IF(D_I="SI",(Datos!L16-Datos!V16)/Datos!V16,(Datos!L16+Datos!AF16-(Datos!V16+Datos!AN16))/(Datos!V16+Datos!AN16))
     ),IF(D_I="SI",(Datos!L16-Datos!V16)/Datos!V16,(Datos!L16+Datos!AF16-(Datos!V16+Datos!AN16))/(Datos!V16+Datos!AN16))," - ")</f>
        <v>0.56331360946745557</v>
      </c>
      <c r="F16" s="515">
        <f>IF(ISNUMBER((Datos!M16-Datos!W16)/Datos!W16),(Datos!M16-Datos!W16)/Datos!W16," - ")</f>
        <v>0.25598086124401914</v>
      </c>
      <c r="G16" s="516">
        <f>IF(ISNUMBER((Datos!N16-Datos!X16)/Datos!X16),(Datos!N16-Datos!X16)/Datos!X16," - ")</f>
        <v>6.6800267201068807E-3</v>
      </c>
      <c r="H16" s="514">
        <f>IF(ISNUMBER(((NºAsuntos!G16/NºAsuntos!E16)-Datos!BD16)/Datos!BD16),((NºAsuntos!G16/NºAsuntos!E16)-Datos!BD16)/Datos!BD16," - ")</f>
        <v>-1.8864450986608493E-3</v>
      </c>
      <c r="I16" s="515">
        <f>IF(ISNUMBER(((NºAsuntos!I16/NºAsuntos!G16)-Datos!BE16)/Datos!BE16),((NºAsuntos!I16/NºAsuntos!G16)-Datos!BE16)/Datos!BE16," - ")</f>
        <v>0.45214685726361531</v>
      </c>
      <c r="J16" s="521">
        <f>IF(ISNUMBER((('Resol  Asuntos'!D16/NºAsuntos!G16)-Datos!BF16)/Datos!BF16),(('Resol  Asuntos'!D16/NºAsuntos!G16)-Datos!BF16)/Datos!BF16," - ")</f>
        <v>0.16666844668489394</v>
      </c>
      <c r="K16" s="522">
        <f>IF(ISNUMBER((((NºAsuntos!C16+NºAsuntos!E16)/NºAsuntos!G16)-Datos!BG16)/Datos!BG16),(((NºAsuntos!C16+NºAsuntos!E16)/NºAsuntos!G16)-Datos!BG16)/Datos!BG16," - ")</f>
        <v>0.14962660467412767</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-5.6451612903225805E-2</v>
      </c>
      <c r="C18" s="515">
        <f>IF(ISNUMBER(
   IF(D_I="SI",(Datos!J18-Datos!T18)/Datos!T18,(Datos!J18+Datos!AD18-(Datos!T18+Datos!AL18))/(Datos!T18+Datos!AL18))
     ),IF(D_I="SI",(Datos!J18-Datos!T18)/Datos!T18,(Datos!J18+Datos!AD18-(Datos!T18+Datos!AL18))/(Datos!T18+Datos!AL18))," - ")</f>
        <v>0.11885245901639344</v>
      </c>
      <c r="D18" s="515">
        <f>IF(ISNUMBER(
   IF(D_I="SI",(Datos!K18-Datos!U18)/Datos!U18,(Datos!K18+Datos!AE18-(Datos!U18+Datos!AM18))/(Datos!U18+Datos!AM18))
     ),IF(D_I="SI",(Datos!K18-Datos!U18)/Datos!U18,(Datos!K18+Datos!AE18-(Datos!U18+Datos!AM18))/(Datos!U18+Datos!AM18))," - ")</f>
        <v>5.5944055944055944E-2</v>
      </c>
      <c r="E18" s="515">
        <f>IF(ISNUMBER(
   IF(D_I="SI",(Datos!L18-Datos!V18)/Datos!V18,(Datos!L18+Datos!AF18-(Datos!V18+Datos!AN18))/(Datos!V18+Datos!AN18))
     ),IF(D_I="SI",(Datos!L18-Datos!V18)/Datos!V18,(Datos!L18+Datos!AF18-(Datos!V18+Datos!AN18))/(Datos!V18+Datos!AN18))," - ")</f>
        <v>7.3170731707317069E-2</v>
      </c>
      <c r="F18" s="515">
        <f>IF(ISNUMBER((Datos!M18-Datos!W18)/Datos!W18),(Datos!M18-Datos!W18)/Datos!W18," - ")</f>
        <v>-0.44444444444444442</v>
      </c>
      <c r="G18" s="516">
        <f>IF(ISNUMBER((Datos!N18-Datos!X18)/Datos!X18),(Datos!N18-Datos!X18)/Datos!X18," - ")</f>
        <v>0.16326530612244897</v>
      </c>
      <c r="H18" s="514">
        <f>IF(ISNUMBER(((NºAsuntos!G18/NºAsuntos!E18)-Datos!BD18)/Datos!BD18),((NºAsuntos!G18/NºAsuntos!E18)-Datos!BD18)/Datos!BD18," - ")</f>
        <v>-5.6225825456594693E-2</v>
      </c>
      <c r="I18" s="515">
        <f>IF(ISNUMBER(((NºAsuntos!I18/NºAsuntos!G18)-Datos!BE18)/Datos!BE18),((NºAsuntos!I18/NºAsuntos!G18)-Datos!BE18)/Datos!BE18," - ")</f>
        <v>1.6314004199644589E-2</v>
      </c>
      <c r="J18" s="521">
        <f>IF(ISNUMBER((('Resol  Asuntos'!D18/NºAsuntos!G18)-Datos!BF18)/Datos!BF18),(('Resol  Asuntos'!D18/NºAsuntos!G18)-Datos!BF18)/Datos!BF18," - ")</f>
        <v>-0.47387785136129507</v>
      </c>
      <c r="K18" s="522">
        <f>IF(ISNUMBER((((NºAsuntos!C18+NºAsuntos!E18)/NºAsuntos!G18)-Datos!BG18)/Datos!BG18),(((NºAsuntos!C18+NºAsuntos!E18)/NºAsuntos!G18)-Datos!BG18)/Datos!BG18," - ")</f>
        <v>3.6351857183990659E-3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0.48618161308516639</v>
      </c>
      <c r="C23" s="1152">
        <f>IF(ISNUMBER(
   IF(Criterios!B14="SI",(Datos!J23-Datos!T23)/Datos!T23,(Datos!J23+Datos!AD23-(Datos!T23+Datos!AL23))/(Datos!T23+Datos!AL23))
     ),IF(Criterios!B14="SI",(Datos!J23-Datos!T23)/Datos!T23,(Datos!J23+Datos!AD23-(Datos!T23+Datos!AL23))/(Datos!T23+Datos!AL23))," - ")</f>
        <v>8.1613797351401299E-2</v>
      </c>
      <c r="D23" s="1152">
        <f>IF(ISNUMBER(
   IF(Criterios!B14="SI",(Datos!K23-Datos!U23)/Datos!U23,(Datos!K23+Datos!AE23-(Datos!U23+Datos!AM23))/(Datos!U23+Datos!AM23))
     ),IF(Criterios!B14="SI",(Datos!K23-Datos!U23)/Datos!U23,(Datos!K23+Datos!AE23-(Datos!U23+Datos!AM23))/(Datos!U23+Datos!AM23))," - ")</f>
        <v>7.4710847139731168E-2</v>
      </c>
      <c r="E23" s="1152">
        <f>IF(ISNUMBER(
   IF(Criterios!B14="SI",(Datos!L23-Datos!V23)/Datos!V23,(Datos!L23+Datos!AF23-(Datos!V23+Datos!AN23))/(Datos!V23+Datos!AN23))
     ),IF(Criterios!B14="SI",(Datos!L23-Datos!V23)/Datos!V23,(Datos!L23+Datos!AF23-(Datos!V23+Datos!AN23))/(Datos!V23+Datos!AN23))," - ")</f>
        <v>0.54002254791431792</v>
      </c>
      <c r="F23" s="1153">
        <f>IF(ISNUMBER((Datos!M23-Datos!W23)/Datos!W23),(Datos!M23-Datos!W23)/Datos!W23," - ")</f>
        <v>0.24121779859484777</v>
      </c>
      <c r="G23" s="1154">
        <f>IF(ISNUMBER((Datos!N23-Datos!X23)/Datos!X23),(Datos!N23-Datos!X23)/Datos!X23," - ")</f>
        <v>2.0681265206812651E-2</v>
      </c>
      <c r="H23" s="1154">
        <f>IF(ISNUMBER(((NºAsuntos!G23/NºAsuntos!E23)-Datos!BD23)/Datos!BD23),((NºAsuntos!G23/NºAsuntos!E23)-Datos!BD23)/Datos!BD23," - ")</f>
        <v>-6.3820840937621843E-3</v>
      </c>
      <c r="I23" s="1154">
        <f>IF(ISNUMBER(((NºAsuntos!I23/NºAsuntos!G23)-Datos!BE23)/Datos!BE23),((NºAsuntos!I23/NºAsuntos!G23)-Datos!BE23)/Datos!BE23," - ")</f>
        <v>0.43296455229142028</v>
      </c>
      <c r="J23" s="1154">
        <f>IF(ISNUMBER((('Resol  Asuntos'!D23/NºAsuntos!G23)-Datos!BF23)/Datos!BF23),(('Resol  Asuntos'!D23/NºAsuntos!G23)-Datos!BF23)/Datos!BF23," - ")</f>
        <v>0.15493186087984809</v>
      </c>
      <c r="K23" s="1154">
        <f>IF(ISNUMBER((((NºAsuntos!C23+NºAsuntos!E23)/NºAsuntos!G23)-Datos!BG23)/Datos!BG23),(((NºAsuntos!C23+NºAsuntos!E23)/NºAsuntos!G23)-Datos!BG23)/Datos!BG23," - ")</f>
        <v>0.13937808973529958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0.25264200792602376</v>
      </c>
      <c r="C31" s="1092">
        <f>IF(ISNUMBER(
   IF(J_V="SI",(Datos!J31-Datos!T31)/Datos!T31,(Datos!J31+Datos!Z31-(Datos!T31+Datos!AH31))/(Datos!T31+Datos!AH31))
     ),IF(J_V="SI",(Datos!J31-Datos!T31)/Datos!T31,(Datos!J31+Datos!Z31-(Datos!T31+Datos!AH31))/(Datos!T31+Datos!AH31))," - ")</f>
        <v>3.8518738845925042E-2</v>
      </c>
      <c r="D31" s="1092">
        <f>IF(ISNUMBER(
   IF(J_V="SI",(Datos!K31-Datos!U31)/Datos!U31,(Datos!K31+Datos!AA31-(Datos!U31+Datos!AI31))/(Datos!U31+Datos!AI31))
     ),IF(J_V="SI",(Datos!K31-Datos!U31)/Datos!U31,(Datos!K31+Datos!AA31-(Datos!U31+Datos!AI31))/(Datos!U31+Datos!AI31))," - ")</f>
        <v>0.1051922789166542</v>
      </c>
      <c r="E31" s="1092">
        <f>IF(ISNUMBER(
   IF(J_V="SI",(Datos!L31-Datos!V31)/Datos!V31,(Datos!L31+Datos!AB31-(Datos!V31+Datos!AJ31))/(Datos!V31+Datos!AJ31))
     ),IF(J_V="SI",(Datos!L31-Datos!V31)/Datos!V31,(Datos!L31+Datos!AB31-(Datos!V31+Datos!AJ31))/(Datos!V31+Datos!AJ31))," - ")</f>
        <v>0.2343801652892562</v>
      </c>
      <c r="F31" s="1093">
        <f>IF(ISNUMBER((Datos!M31-Datos!W31)/Datos!W31),(Datos!M31-Datos!W31)/Datos!W31," - ")</f>
        <v>0.23947750362844702</v>
      </c>
      <c r="G31" s="1094">
        <f>IF(ISNUMBER((Datos!N31-Datos!X31)/Datos!X31),(Datos!N31-Datos!X31)/Datos!X31," - ")</f>
        <v>0.1406832298136646</v>
      </c>
      <c r="H31" s="1095">
        <f>IF(ISNUMBER((Tasas!B31-Datos!BD31)/Datos!BD31),(Tasas!B31-Datos!BD31)/Datos!BD31," - ")</f>
        <v>6.4200613409076637E-2</v>
      </c>
      <c r="I31" s="1096">
        <f>IF(ISNUMBER((Tasas!C31-Datos!BE31)/Datos!BE31),(Tasas!C31-Datos!BE31)/Datos!BE31," - ")</f>
        <v>0.11689177425238281</v>
      </c>
      <c r="J31" s="1097">
        <f>IF(ISNUMBER((Tasas!D31-Datos!BF31)/Datos!BF31),(Tasas!D31-Datos!BF31)/Datos!BF31," - ")</f>
        <v>-0.23151047252566878</v>
      </c>
      <c r="K31" s="1097">
        <f>IF(ISNUMBER((Tasas!E31-Datos!BG31)/Datos!BG31),(Tasas!E31-Datos!BG31)/Datos!BG31," - ")</f>
        <v>3.1480559803748372E-2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K/VHqXPFsMMoNJVVCcwFV9yhE0WGGTYvoJZwahU78TOMgFtrZ3GUmoWSpIKAK4lCI7aYPQ4CtcOS2OO4Vp+Mg==" saltValue="dD7qtxZmM0RfGQCKdpQX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GIRONA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1.1558669001751314</v>
      </c>
      <c r="C9" s="498">
        <f>IF(ISNUMBER(NºAsuntos!I9/NºAsuntos!G9),NºAsuntos!I9/NºAsuntos!G9," - ")</f>
        <v>1.2375757575757576</v>
      </c>
      <c r="D9" s="499">
        <f>IF(ISNUMBER('Resol  Asuntos'!D9/NºAsuntos!G9),'Resol  Asuntos'!D9/NºAsuntos!G9," - ")</f>
        <v>0.30424242424242426</v>
      </c>
      <c r="E9" s="500">
        <f>IF(ISNUMBER((NºAsuntos!C9+NºAsuntos!E9)/NºAsuntos!G9),(NºAsuntos!C9+NºAsuntos!E9)/NºAsuntos!G9," - ")</f>
        <v>2.1581818181818182</v>
      </c>
      <c r="G9" s="523"/>
    </row>
    <row r="10" spans="1:7">
      <c r="A10" s="450" t="str">
        <f>Datos!A10</f>
        <v>Jdos. Violencia contra la mujer</v>
      </c>
      <c r="B10" s="497">
        <f>IF(ISNUMBER(NºAsuntos!G10/NºAsuntos!E10),NºAsuntos!G10/NºAsuntos!E10," - ")</f>
        <v>1.0588235294117647</v>
      </c>
      <c r="C10" s="498">
        <f>IF(ISNUMBER(NºAsuntos!I10/NºAsuntos!G10),NºAsuntos!I10/NºAsuntos!G10," - ")</f>
        <v>1.0555555555555556</v>
      </c>
      <c r="D10" s="499">
        <f>IF(ISNUMBER('Resol  Asuntos'!D10/NºAsuntos!G10),'Resol  Asuntos'!D10/NºAsuntos!G10," - ")</f>
        <v>0.33333333333333331</v>
      </c>
      <c r="E10" s="500">
        <f>IF(ISNUMBER((NºAsuntos!C10+NºAsuntos!E10)/NºAsuntos!G10),(NºAsuntos!C10+NºAsuntos!E10)/NºAsuntos!G10," - ")</f>
        <v>2.0555555555555554</v>
      </c>
      <c r="G10" s="523"/>
    </row>
    <row r="11" spans="1:7">
      <c r="A11" s="450" t="str">
        <f>Datos!A11</f>
        <v xml:space="preserve">Jdos. Familia                                   </v>
      </c>
      <c r="B11" s="497">
        <f>IF(ISNUMBER(NºAsuntos!G11/NºAsuntos!E11),NºAsuntos!G11/NºAsuntos!E11," - ")</f>
        <v>1.0515463917525774</v>
      </c>
      <c r="C11" s="498">
        <f>IF(ISNUMBER(NºAsuntos!I11/NºAsuntos!G11),NºAsuntos!I11/NºAsuntos!G11," - ")</f>
        <v>1.0032679738562091</v>
      </c>
      <c r="D11" s="499">
        <f>IF(ISNUMBER('Resol  Asuntos'!D11/NºAsuntos!G11),'Resol  Asuntos'!D11/NºAsuntos!G11," - ")</f>
        <v>0.26470588235294118</v>
      </c>
      <c r="E11" s="500">
        <f>IF(ISNUMBER((NºAsuntos!C11+NºAsuntos!E11)/NºAsuntos!G11),(NºAsuntos!C11+NºAsuntos!E11)/NºAsuntos!G11," - ")</f>
        <v>2.0032679738562091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1.1374243733794296</v>
      </c>
      <c r="C14" s="1156">
        <f>IF(ISNUMBER(NºAsuntos!I14/NºAsuntos!G14),NºAsuntos!I14/NºAsuntos!G14," - ")</f>
        <v>1.1995947315096251</v>
      </c>
      <c r="D14" s="1157">
        <f>IF(ISNUMBER('Resol  Asuntos'!D14/NºAsuntos!G14),'Resol  Asuntos'!D14/NºAsuntos!G14," - ")</f>
        <v>0.29837892603850052</v>
      </c>
      <c r="E14" s="1158">
        <f>IF(ISNUMBER((NºAsuntos!C14+NºAsuntos!E14)/NºAsuntos!G14),(NºAsuntos!C14+NºAsuntos!E14)/NºAsuntos!G14," - ")</f>
        <v>2.1332320162107394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0.96820006174745288</v>
      </c>
      <c r="C16" s="498">
        <f>IF(ISNUMBER(NºAsuntos!I16/NºAsuntos!G16),NºAsuntos!I16/NºAsuntos!G16," - ")</f>
        <v>0.84247448979591832</v>
      </c>
      <c r="D16" s="499">
        <f>IF(ISNUMBER('Resol  Asuntos'!D16/NºAsuntos!G16),'Resol  Asuntos'!D16/NºAsuntos!G16," - ")</f>
        <v>0.16741071428571427</v>
      </c>
      <c r="E16" s="500">
        <f>IF(ISNUMBER((NºAsuntos!C16+NºAsuntos!E16)/NºAsuntos!G16),(NºAsuntos!C16+NºAsuntos!E16)/NºAsuntos!G16," - ")</f>
        <v>1.8351403061224489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1.1062271062271063</v>
      </c>
      <c r="C18" s="498">
        <f>IF(ISNUMBER(NºAsuntos!I18/NºAsuntos!G18),NºAsuntos!I18/NºAsuntos!G18," - ")</f>
        <v>0.29139072847682118</v>
      </c>
      <c r="D18" s="499">
        <f>IF(ISNUMBER('Resol  Asuntos'!D18/NºAsuntos!G18),'Resol  Asuntos'!D18/NºAsuntos!G18," - ")</f>
        <v>1.6556291390728478E-2</v>
      </c>
      <c r="E18" s="500">
        <f>IF(ISNUMBER((NºAsuntos!C18+NºAsuntos!E18)/NºAsuntos!G18),(NºAsuntos!C18+NºAsuntos!E18)/NºAsuntos!G18," - ")</f>
        <v>1.2913907284768211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0.97892938496583148</v>
      </c>
      <c r="C23" s="1156">
        <f>IF(ISNUMBER(NºAsuntos!I23/NºAsuntos!G23),NºAsuntos!I23/NºAsuntos!G23," - ")</f>
        <v>0.79464805119255377</v>
      </c>
      <c r="D23" s="1159">
        <f>IF(ISNUMBER('Resol  Asuntos'!D23/NºAsuntos!G23),'Resol  Asuntos'!D23/NºAsuntos!G23," - ")</f>
        <v>0.15415939499709133</v>
      </c>
      <c r="E23" s="1158">
        <f>IF(ISNUMBER((NºAsuntos!C23+NºAsuntos!E23)/NºAsuntos!G23),(NºAsuntos!C23+NºAsuntos!E23)/NºAsuntos!G23," - ")</f>
        <v>1.787958115183246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1.0577115852785335</v>
      </c>
      <c r="C31" s="1099">
        <f>IF(ISNUMBER(NºAsuntos!I31/NºAsuntos!G31),NºAsuntos!I31/NºAsuntos!G31," - ")</f>
        <v>1.0111020850257244</v>
      </c>
      <c r="D31" s="1100">
        <f>IF(ISNUMBER('Resol  Asuntos'!D31/NºAsuntos!G31),'Resol  Asuntos'!D31/NºAsuntos!G31," - ")</f>
        <v>0.23124830760898998</v>
      </c>
      <c r="E31" s="1101">
        <f>IF(ISNUMBER((NºAsuntos!C31+NºAsuntos!E31)/NºAsuntos!G31),(NºAsuntos!C31+NºAsuntos!E31)/NºAsuntos!G31," - ")</f>
        <v>1.9725155699972923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6SgttQM5Du8CDrB3Ll0NRx417DucOI5SerpDscJoWNhn98rA3eEcU4ZpiMybWsYvAdax1e+IgbGC4L69hDc7g==" saltValue="hklvQn4l0kcrYyAIH52Xn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GIRONA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690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724</v>
      </c>
      <c r="Y9" s="374">
        <f>SUM(W9:X9)</f>
        <v>724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3439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1004</v>
      </c>
      <c r="AJ9" s="243" t="str">
        <f>IF(ISNUMBER(Datos!BW9),Datos!BW9," - ")</f>
        <v xml:space="preserve"> - </v>
      </c>
      <c r="AK9" s="242" t="str">
        <f>IF(ISNUMBER(Datos!BX9),Datos!BX9," - ")</f>
        <v xml:space="preserve"> - </v>
      </c>
      <c r="AL9" s="266">
        <f>IF(ISNUMBER(NºAsuntos!G9/NºAsuntos!E9),NºAsuntos!G9/NºAsuntos!E9," - ")</f>
        <v>1.1558669001751314</v>
      </c>
      <c r="AM9" s="284">
        <f>IF(ISNUMBER(((NºAsuntos!I9/NºAsuntos!G9)*11)/factor_trimestre),((NºAsuntos!I9/NºAsuntos!G9)*11)/factor_trimestre," - ")</f>
        <v>3.7127272727272729</v>
      </c>
      <c r="AN9" s="267">
        <f>IF(ISNUMBER('Resol  Asuntos'!D9/NºAsuntos!G9),'Resol  Asuntos'!D9/NºAsuntos!G9," - ")</f>
        <v>0.30424242424242426</v>
      </c>
      <c r="AO9" s="268">
        <f>IF(ISNUMBER((NºAsuntos!C9+NºAsuntos!E9)/NºAsuntos!G9),(NºAsuntos!C9+NºAsuntos!E9)/NºAsuntos!G9," - ")</f>
        <v>2.1581818181818182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36</v>
      </c>
      <c r="X10" s="240">
        <f>IF(ISNUMBER(Datos!Q10),Datos!Q10," - ")</f>
        <v>6</v>
      </c>
      <c r="Y10" s="374">
        <f t="shared" ref="Y10:Y13" si="0">SUM(W10:X10)</f>
        <v>42</v>
      </c>
      <c r="Z10" s="375" t="str">
        <f>IF(ISNUMBER(Datos!CC10),Datos!CC10," - ")</f>
        <v xml:space="preserve"> - </v>
      </c>
      <c r="AA10" s="372">
        <f>IF(ISNUMBER(Datos!L10),Datos!L10,"-")</f>
        <v>38</v>
      </c>
      <c r="AB10" s="374">
        <f>IF(ISNUMBER(Datos!R10),Datos!R10," - ")</f>
        <v>89</v>
      </c>
      <c r="AC10" s="374">
        <f t="shared" ref="AC10:AC13" si="1">IF(ISNUMBER(AA10+AB10),AA10+AB10," - ")</f>
        <v>127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1.0588235294117647</v>
      </c>
      <c r="AM10" s="284">
        <f>IF(ISNUMBER(((NºAsuntos!I10/NºAsuntos!G10)*11)/factor_trimestre),((NºAsuntos!I10/NºAsuntos!G10)*11)/factor_trimestre," - ")</f>
        <v>3.1666666666666665</v>
      </c>
      <c r="AN10" s="267">
        <f>IF(ISNUMBER('Resol  Asuntos'!D10/NºAsuntos!G10),'Resol  Asuntos'!D10/NºAsuntos!G10," - ")</f>
        <v>0.33333333333333331</v>
      </c>
      <c r="AO10" s="268">
        <f>IF(ISNUMBER((NºAsuntos!C10+NºAsuntos!E10)/NºAsuntos!G10),(NºAsuntos!C10+NºAsuntos!E10)/NºAsuntos!G10," - ")</f>
        <v>2.0555555555555554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69</v>
      </c>
      <c r="Y11" s="374">
        <f t="shared" si="0"/>
        <v>69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537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162</v>
      </c>
      <c r="AJ11" s="245" t="str">
        <f>IF(ISNUMBER(Datos!BW11),Datos!BW11," - ")</f>
        <v xml:space="preserve"> - </v>
      </c>
      <c r="AK11" s="246" t="str">
        <f>IF(ISNUMBER(Datos!BX11),Datos!BX11," - ")</f>
        <v xml:space="preserve"> - </v>
      </c>
      <c r="AL11" s="266">
        <f>IF(ISNUMBER(NºAsuntos!G11/NºAsuntos!E11),NºAsuntos!G11/NºAsuntos!E11," - ")</f>
        <v>1.0515463917525774</v>
      </c>
      <c r="AM11" s="284">
        <f>IF(ISNUMBER(((NºAsuntos!I11/NºAsuntos!G11)*11)/factor_trimestre),((NºAsuntos!I11/NºAsuntos!G11)*11)/factor_trimestre," - ")</f>
        <v>3.0098039215686274</v>
      </c>
      <c r="AN11" s="267">
        <f>IF(ISNUMBER('Resol  Asuntos'!D11/NºAsuntos!G11),'Resol  Asuntos'!D11/NºAsuntos!G11," - ")</f>
        <v>0.26470588235294118</v>
      </c>
      <c r="AO11" s="268">
        <f>IF(ISNUMBER((NºAsuntos!C11+NºAsuntos!E11)/NºAsuntos!G11),(NºAsuntos!C11+NºAsuntos!E11)/NºAsuntos!G11," - ")</f>
        <v>2.0032679738562091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40</v>
      </c>
      <c r="G14" s="1163">
        <f t="shared" si="5"/>
        <v>40</v>
      </c>
      <c r="H14" s="1162">
        <f t="shared" si="5"/>
        <v>0</v>
      </c>
      <c r="I14" s="1164">
        <f t="shared" si="5"/>
        <v>0</v>
      </c>
      <c r="J14" s="1164">
        <f t="shared" si="5"/>
        <v>0</v>
      </c>
      <c r="K14" s="1164">
        <f t="shared" si="5"/>
        <v>0</v>
      </c>
      <c r="L14" s="1164">
        <f t="shared" si="5"/>
        <v>730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36</v>
      </c>
      <c r="X14" s="1164">
        <f t="shared" si="6"/>
        <v>799</v>
      </c>
      <c r="Y14" s="1165">
        <f t="shared" si="6"/>
        <v>835</v>
      </c>
      <c r="Z14" s="1165">
        <f t="shared" si="6"/>
        <v>0</v>
      </c>
      <c r="AA14" s="1165">
        <f t="shared" si="6"/>
        <v>38</v>
      </c>
      <c r="AB14" s="1165">
        <f t="shared" si="6"/>
        <v>4065</v>
      </c>
      <c r="AC14" s="1165">
        <f t="shared" si="6"/>
        <v>127</v>
      </c>
      <c r="AD14" s="1165">
        <f t="shared" si="6"/>
        <v>0</v>
      </c>
      <c r="AE14" s="1169">
        <f t="shared" si="6"/>
        <v>0</v>
      </c>
      <c r="AF14" s="1162">
        <f t="shared" si="6"/>
        <v>0</v>
      </c>
      <c r="AG14" s="1170">
        <f t="shared" si="6"/>
        <v>0</v>
      </c>
      <c r="AH14" s="1167">
        <f t="shared" si="6"/>
        <v>0</v>
      </c>
      <c r="AI14" s="1162">
        <f t="shared" si="6"/>
        <v>1178</v>
      </c>
      <c r="AJ14" s="1164">
        <f t="shared" si="6"/>
        <v>0</v>
      </c>
      <c r="AK14" s="1167">
        <f>SUBTOTAL(9,AK9:AK13)</f>
        <v>0</v>
      </c>
      <c r="AL14" s="1171">
        <f>IF(ISNUMBER(NºAsuntos!G14/NºAsuntos!E14),NºAsuntos!G14/NºAsuntos!E14," - ")</f>
        <v>1.1374243733794296</v>
      </c>
      <c r="AM14" s="1171">
        <f>IF(ISNUMBER(((NºAsuntos!I14/NºAsuntos!G14)*11)/factor_trimestre),((NºAsuntos!I14/NºAsuntos!G14)*11)/factor_trimestre," - ")</f>
        <v>3.5987841945288754</v>
      </c>
      <c r="AN14" s="1172">
        <f>IF(ISNUMBER('Resol  Asuntos'!D14/NºAsuntos!G14),'Resol  Asuntos'!D14/NºAsuntos!G14," - ")</f>
        <v>0.29837892603850052</v>
      </c>
      <c r="AO14" s="1173">
        <f>IF(ISNUMBER((NºAsuntos!C14+NºAsuntos!E14)/NºAsuntos!G14),(NºAsuntos!C14+NºAsuntos!E14)/NºAsuntos!G14," - ")</f>
        <v>2.1332320162107394</v>
      </c>
      <c r="AP14" s="1174" t="str">
        <f t="shared" si="2"/>
        <v xml:space="preserve"> - </v>
      </c>
      <c r="AQ14" s="1174">
        <f>IF(ISNUMBER((H14-W14+K14)/(F14)),(H14-W14+K14)/(F14)," - ")</f>
        <v>-0.9</v>
      </c>
      <c r="AR14" s="1175">
        <f>IF(ISNUMBER((Datos!P14-Datos!Q14)/(Datos!R14-Datos!P14+Datos!Q14)),(Datos!P14-Datos!Q14)/(Datos!R14-Datos!P14+Datos!Q14)," - ")</f>
        <v>-1.6690856313497822E-2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2539</v>
      </c>
      <c r="G16" s="373">
        <f>IF(ISNUMBER(IF(D_I="SI",Datos!I16,Datos!I16+Datos!AC16)),IF(D_I="SI",Datos!I16,Datos!I16+Datos!AC16)," - ")</f>
        <v>2516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3136</v>
      </c>
      <c r="X16" s="240">
        <f>IF(ISNUMBER(Datos!Q16),Datos!Q16," - ")</f>
        <v>90</v>
      </c>
      <c r="Y16" s="374">
        <f>SUM(W16)</f>
        <v>3136</v>
      </c>
      <c r="Z16" s="375" t="str">
        <f>IF(ISNUMBER(Datos!CC16),Datos!CC16," - ")</f>
        <v xml:space="preserve"> - </v>
      </c>
      <c r="AA16" s="372">
        <f>IF(ISNUMBER(IF(D_I="SI",Datos!L16,Datos!L16+Datos!AF16)),IF(D_I="SI",Datos!L16,Datos!L16+Datos!AF16)," - ")</f>
        <v>2642</v>
      </c>
      <c r="AB16" s="374">
        <f>IF(ISNUMBER(Datos!R16),Datos!R16," - ")</f>
        <v>375</v>
      </c>
      <c r="AC16" s="374">
        <f t="shared" ref="AC16:AC22" si="8">IF(ISNUMBER(AA16+AB16),AA16+AB16," - ")</f>
        <v>3017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525</v>
      </c>
      <c r="AJ16" s="245" t="str">
        <f>IF(ISNUMBER(Datos!BW16),Datos!BW16," - ")</f>
        <v xml:space="preserve"> - </v>
      </c>
      <c r="AK16" s="246" t="str">
        <f>IF(ISNUMBER(Datos!BX16),Datos!BX16," - ")</f>
        <v xml:space="preserve"> - </v>
      </c>
      <c r="AL16" s="266">
        <f>IF(ISNUMBER(NºAsuntos!G16/NºAsuntos!E16),NºAsuntos!G16/NºAsuntos!E16," - ")</f>
        <v>0.96820006174745288</v>
      </c>
      <c r="AM16" s="284">
        <f>IF(ISNUMBER(((NºAsuntos!I16/NºAsuntos!G16)*11)/factor_trimestre),((NºAsuntos!I16/NºAsuntos!G16)*11)/factor_trimestre," - ")</f>
        <v>2.5274234693877551</v>
      </c>
      <c r="AN16" s="267">
        <f>IF(ISNUMBER('Resol  Asuntos'!D16/NºAsuntos!G16),'Resol  Asuntos'!D16/NºAsuntos!G16," - ")</f>
        <v>0.16741071428571427</v>
      </c>
      <c r="AO16" s="268">
        <f>IF(ISNUMBER((NºAsuntos!C16+NºAsuntos!E16)/NºAsuntos!G16),(NºAsuntos!C16+NºAsuntos!E16)/NºAsuntos!G16," - ")</f>
        <v>1.8351403061224489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2</v>
      </c>
      <c r="AC17" s="374">
        <f t="shared" si="8"/>
        <v>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302</v>
      </c>
      <c r="X18" s="240">
        <f>IF(ISNUMBER(Datos!Q18),Datos!Q18," - ")</f>
        <v>1</v>
      </c>
      <c r="Y18" s="374">
        <f t="shared" si="9"/>
        <v>303</v>
      </c>
      <c r="Z18" s="375" t="str">
        <f>IF(ISNUMBER(Datos!CC18),Datos!CC18," - ")</f>
        <v xml:space="preserve"> - </v>
      </c>
      <c r="AA18" s="372">
        <f>IF(ISNUMBER(Datos!L18),Datos!L18,"-")</f>
        <v>88</v>
      </c>
      <c r="AB18" s="374">
        <f>IF(ISNUMBER(Datos!R18),Datos!R18," - ")</f>
        <v>4</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1.1062271062271063</v>
      </c>
      <c r="AM18" s="284">
        <f>IF(ISNUMBER(((NºAsuntos!I18/NºAsuntos!G18)*11)/factor_trimestre),((NºAsuntos!I18/NºAsuntos!G18)*11)/factor_trimestre," - ")</f>
        <v>0.8741721854304636</v>
      </c>
      <c r="AN18" s="267">
        <f>IF(ISNUMBER('Resol  Asuntos'!D18/NºAsuntos!G18),'Resol  Asuntos'!D18/NºAsuntos!G18," - ")</f>
        <v>1.6556291390728478E-2</v>
      </c>
      <c r="AO18" s="268">
        <f>IF(ISNUMBER((NºAsuntos!C18+NºAsuntos!E18)/NºAsuntos!G18),(NºAsuntos!C18+NºAsuntos!E18)/NºAsuntos!G18," - ")</f>
        <v>1.2913907284768211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2541</v>
      </c>
      <c r="G23" s="1163">
        <f>SUBTOTAL(9,G16:G22)</f>
        <v>2635</v>
      </c>
      <c r="H23" s="1162">
        <f t="shared" ref="H23:O23" si="13">SUBTOTAL(9,H15:H22)</f>
        <v>0</v>
      </c>
      <c r="I23" s="1164">
        <f t="shared" si="13"/>
        <v>0</v>
      </c>
      <c r="J23" s="1164">
        <f t="shared" si="13"/>
        <v>0</v>
      </c>
      <c r="K23" s="1164">
        <f t="shared" si="13"/>
        <v>0</v>
      </c>
      <c r="L23" s="1164">
        <f t="shared" si="13"/>
        <v>126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3438</v>
      </c>
      <c r="X23" s="1164">
        <f t="shared" si="14"/>
        <v>91</v>
      </c>
      <c r="Y23" s="1165">
        <f t="shared" si="14"/>
        <v>3439</v>
      </c>
      <c r="Z23" s="1165">
        <f t="shared" si="14"/>
        <v>0</v>
      </c>
      <c r="AA23" s="1165">
        <f t="shared" si="14"/>
        <v>2732</v>
      </c>
      <c r="AB23" s="1165">
        <f t="shared" si="14"/>
        <v>381</v>
      </c>
      <c r="AC23" s="1165">
        <f t="shared" si="14"/>
        <v>3113</v>
      </c>
      <c r="AD23" s="1165">
        <f t="shared" si="14"/>
        <v>0</v>
      </c>
      <c r="AE23" s="1169">
        <f t="shared" si="14"/>
        <v>0</v>
      </c>
      <c r="AF23" s="1162">
        <f t="shared" si="14"/>
        <v>0</v>
      </c>
      <c r="AG23" s="1170">
        <f t="shared" si="14"/>
        <v>0</v>
      </c>
      <c r="AH23" s="1167">
        <f t="shared" si="14"/>
        <v>0</v>
      </c>
      <c r="AI23" s="1162">
        <f t="shared" si="14"/>
        <v>530</v>
      </c>
      <c r="AJ23" s="1164">
        <f t="shared" si="14"/>
        <v>0</v>
      </c>
      <c r="AK23" s="1167">
        <f t="shared" si="14"/>
        <v>0</v>
      </c>
      <c r="AL23" s="1171">
        <f>IF(ISNUMBER(NºAsuntos!G23/NºAsuntos!E23),NºAsuntos!G23/NºAsuntos!E23," - ")</f>
        <v>0.97892938496583148</v>
      </c>
      <c r="AM23" s="1171">
        <f>IF(ISNUMBER(((NºAsuntos!I23/NºAsuntos!G23)*11)/factor_trimestre),((NºAsuntos!I23/NºAsuntos!G23)*11)/factor_trimestre," - ")</f>
        <v>2.3839441535776618</v>
      </c>
      <c r="AN23" s="1172">
        <f>IF(ISNUMBER('Resol  Asuntos'!D23/NºAsuntos!G23),'Resol  Asuntos'!D23/NºAsuntos!G23," - ")</f>
        <v>0.15415939499709133</v>
      </c>
      <c r="AO23" s="1173">
        <f>IF(ISNUMBER((NºAsuntos!C23+NºAsuntos!E23)/NºAsuntos!G23),(NºAsuntos!C23+NºAsuntos!E23)/NºAsuntos!G23," - ")</f>
        <v>1.787958115183246</v>
      </c>
      <c r="AP23" s="1174" t="str">
        <f t="shared" si="2"/>
        <v xml:space="preserve"> - </v>
      </c>
      <c r="AQ23" s="1174">
        <f>IF(ISNUMBER((H23-W23+K23)/(F23)),(H23-W23+K23)/(F23)," - ")</f>
        <v>-1.3530106257378984</v>
      </c>
      <c r="AR23" s="1175">
        <f>IF(ISNUMBER((Datos!P23-Datos!Q23)/(Datos!R23-Datos!P23+Datos!Q23)),(Datos!P23-Datos!Q23)/(Datos!R23-Datos!P23+Datos!Q23)," - ")</f>
        <v>0.10115606936416185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2581</v>
      </c>
      <c r="G31" s="1118">
        <f t="shared" si="20"/>
        <v>2675</v>
      </c>
      <c r="H31" s="1117">
        <f t="shared" si="20"/>
        <v>0</v>
      </c>
      <c r="I31" s="1119">
        <f t="shared" si="20"/>
        <v>0</v>
      </c>
      <c r="J31" s="1119">
        <f t="shared" si="20"/>
        <v>0</v>
      </c>
      <c r="K31" s="1180">
        <f t="shared" si="20"/>
        <v>0</v>
      </c>
      <c r="L31" s="1119">
        <f t="shared" si="20"/>
        <v>856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3474</v>
      </c>
      <c r="X31" s="1118">
        <f t="shared" si="21"/>
        <v>890</v>
      </c>
      <c r="Y31" s="1125">
        <f t="shared" si="21"/>
        <v>4274</v>
      </c>
      <c r="Z31" s="1125">
        <f t="shared" si="21"/>
        <v>0</v>
      </c>
      <c r="AA31" s="1125">
        <f t="shared" si="21"/>
        <v>2770</v>
      </c>
      <c r="AB31" s="1125">
        <f t="shared" si="21"/>
        <v>4446</v>
      </c>
      <c r="AC31" s="1125">
        <f t="shared" si="21"/>
        <v>3240</v>
      </c>
      <c r="AD31" s="1125">
        <f t="shared" si="21"/>
        <v>0</v>
      </c>
      <c r="AE31" s="1127">
        <f t="shared" si="21"/>
        <v>0</v>
      </c>
      <c r="AF31" s="1128">
        <f t="shared" si="21"/>
        <v>0</v>
      </c>
      <c r="AG31" s="1129">
        <f t="shared" si="21"/>
        <v>0</v>
      </c>
      <c r="AH31" s="1127">
        <f t="shared" si="21"/>
        <v>0</v>
      </c>
      <c r="AI31" s="1117">
        <f t="shared" si="21"/>
        <v>1708</v>
      </c>
      <c r="AJ31" s="1117">
        <f t="shared" si="21"/>
        <v>0</v>
      </c>
      <c r="AK31" s="1127">
        <f t="shared" si="21"/>
        <v>0</v>
      </c>
      <c r="AL31" s="1183">
        <f>IF(ISNUMBER(NºAsuntos!G31/NºAsuntos!E31),NºAsuntos!G31/NºAsuntos!E31," - ")</f>
        <v>1.0577115852785335</v>
      </c>
      <c r="AM31" s="1184">
        <f>IF(ISNUMBER(((NºAsuntos!I31/NºAsuntos!G31)*11)/factor_trimestre),((NºAsuntos!I31/NºAsuntos!G31)*11)/factor_trimestre," - ")</f>
        <v>3.0333062550771732</v>
      </c>
      <c r="AN31" s="1184">
        <f>IF(ISNUMBER('Resol  Asuntos'!D31/NºAsuntos!G31),'Resol  Asuntos'!D31/NºAsuntos!G31," - ")</f>
        <v>0.23124830760898998</v>
      </c>
      <c r="AO31" s="1185">
        <f>IF(ISNUMBER((NºAsuntos!C31+NºAsuntos!E31)/NºAsuntos!G31),(NºAsuntos!C31+NºAsuntos!E31)/NºAsuntos!G31," - ")</f>
        <v>1.9725155699972923</v>
      </c>
      <c r="AP31" s="1186" t="str">
        <f t="shared" si="2"/>
        <v xml:space="preserve"> - </v>
      </c>
      <c r="AQ31" s="1187">
        <f>IF(OR(ISNUMBER(FIND("01",Criterios!A8,1)),ISNUMBER(FIND("02",Criterios!A8,1)),ISNUMBER(FIND("03",Criterios!A8,1)),ISNUMBER(FIND("04",Criterios!A8,1))),(I31-W31+K31)/(F31-K31),(H31-W31+K31)/(F31-K31))</f>
        <v>-1.345989926385122</v>
      </c>
      <c r="AR31" s="1188">
        <f>IF(ISNUMBER((Datos!P31-Datos!Q31)/(Datos!R31-Datos!P31+Datos!Q31)),(Datos!P31-Datos!Q31)/(Datos!R31-Datos!P31+Datos!Q31)," - ")</f>
        <v>-7.5892857142857142E-3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668.75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2.3619795444544081</v>
      </c>
      <c r="F33" s="276">
        <f>IF(ISNUMBER(STDEV(F8:F30)),STDEV(F8:F30),"-")</f>
        <v>1231.5166607538388</v>
      </c>
      <c r="G33" s="277">
        <f>IF(ISNUMBER(STDEV(G8:G30)),STDEV(G8:G30),"-")</f>
        <v>1177.9256282610909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1498.2751034820963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448.6686973703425</v>
      </c>
      <c r="AJ33" s="276">
        <f t="shared" si="25"/>
        <v>0</v>
      </c>
      <c r="AK33" s="278">
        <f t="shared" si="25"/>
        <v>0</v>
      </c>
      <c r="AL33" s="273">
        <f t="shared" si="25"/>
        <v>7.3256061480117776E-2</v>
      </c>
      <c r="AM33" s="274">
        <f t="shared" si="25"/>
        <v>0.96527852147922821</v>
      </c>
      <c r="AN33" s="274">
        <f t="shared" si="25"/>
        <v>0.11296965157011409</v>
      </c>
      <c r="AO33" s="275">
        <f t="shared" si="25"/>
        <v>0.30080572179620307</v>
      </c>
      <c r="AP33" s="317" t="str">
        <f t="shared" si="25"/>
        <v>-</v>
      </c>
      <c r="AQ33" s="318">
        <f t="shared" si="25"/>
        <v>0.32032688540882837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SXYpgLsaR7tGgp0gKAVryY73Q+fSuzf2se1PLptgIdpcbkqMhfGhhTmew5bZE3VPhS3T927q4UzXndtSNgYkw==" saltValue="MACGinMFyZWca5h3RDf3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GIRONA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0.41607898448519043</v>
      </c>
      <c r="I9" s="395">
        <f>IF(ISNUMBER((Tasas!C9-Datos!BE9)/Datos!BE9),(Tasas!C9-Datos!BE9)/Datos!BE9," - ")</f>
        <v>-7.9463831061854187E-2</v>
      </c>
      <c r="J9" s="394">
        <f>IF(ISNUMBER((Tasas!D9-Datos!BF9)/Datos!BF9),(Tasas!D9-Datos!BF9)/Datos!BF9," - ")</f>
        <v>-0.31029897299353365</v>
      </c>
      <c r="K9" s="396">
        <f>IF(ISNUMBER((Tasas!E9-Datos!BG9)/Datos!BG9),(Tasas!E9-Datos!BG9)/Datos!BG9," - ")</f>
        <v>-7.9434018980547014E-2</v>
      </c>
      <c r="M9" t="e">
        <f>IF(Monitorios="SI",Datos!CE9,0)</f>
        <v>#REF!</v>
      </c>
      <c r="N9" t="e">
        <f>IF(Monitorios="SI",Datos!CF9,0)</f>
        <v>#REF!</v>
      </c>
      <c r="O9" t="e">
        <f>IF(Monitorios="SI",Datos!CG9,0)</f>
        <v>#REF!</v>
      </c>
      <c r="P9" t="e">
        <f>IF(Monitorios="SI",Datos!CH9,0)</f>
        <v>#REF!</v>
      </c>
      <c r="Q9">
        <f>IF(J_V="SI",0,Datos!AG9)</f>
        <v>109</v>
      </c>
      <c r="R9">
        <f>IF(J_V="SI",0,Datos!AH9)</f>
        <v>139</v>
      </c>
      <c r="S9">
        <f>IF(J_V="SI",0,Datos!AI9)</f>
        <v>128</v>
      </c>
      <c r="T9">
        <f>IF(J_V="SI",0,Datos!AJ9)</f>
        <v>120</v>
      </c>
    </row>
    <row r="10" spans="2:20" ht="14.25">
      <c r="B10" s="300" t="s">
        <v>321</v>
      </c>
      <c r="C10" s="7" t="str">
        <f>Datos!A10</f>
        <v>Jdos. Violencia contra la mujer</v>
      </c>
      <c r="D10" s="397">
        <f>IF(ISNUMBER((Datos!I10-Datos!S10)/Datos!S10),(Datos!I10-Datos!S10)/Datos!S10," - ")</f>
        <v>-0.39393939393939392</v>
      </c>
      <c r="E10" s="393">
        <f>IF(ISNUMBER((Datos!J10-Datos!T10)/Datos!T10),(Datos!J10-Datos!T10)/Datos!T10," - ")</f>
        <v>0.47826086956521741</v>
      </c>
      <c r="F10" s="393">
        <f>IF(ISNUMBER((Datos!K10-Datos!U10)/Datos!U10),(Datos!K10-Datos!U10)/Datos!U10," - ")</f>
        <v>-0.36842105263157893</v>
      </c>
      <c r="G10" s="394">
        <f>IF(ISNUMBER((Datos!L10-Datos!V10)/Datos!V10),(Datos!L10-Datos!V10)/Datos!V10," - ")</f>
        <v>0.1875</v>
      </c>
      <c r="H10" s="244">
        <f>IF(ISNUMBER((Datos!M10-Datos!W10)/Datos!W10),(Datos!M10-Datos!W10)/Datos!W10," - ")</f>
        <v>-0.42857142857142855</v>
      </c>
      <c r="I10" s="395">
        <f>IF(ISNUMBER((Tasas!C10-Datos!BE10)/Datos!BE10),(Tasas!C10-Datos!BE10)/Datos!BE10," - ")</f>
        <v>0.88020833333333348</v>
      </c>
      <c r="J10" s="394">
        <f>IF(ISNUMBER((Tasas!D10-Datos!BF10)/Datos!BF10),(Tasas!D10-Datos!BF10)/Datos!BF10," - ")</f>
        <v>-9.5238095238095233E-2</v>
      </c>
      <c r="K10" s="396">
        <f>IF(ISNUMBER((Tasas!E10-Datos!BG10)/Datos!BG10),(Tasas!E10-Datos!BG10)/Datos!BG10," - ")</f>
        <v>0.31647940074906356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-0.2669683257918552</v>
      </c>
      <c r="I11" s="395">
        <f>IF(ISNUMBER((Tasas!C11-Datos!BE11)/Datos!BE11),(Tasas!C11-Datos!BE11)/Datos!BE11," - ")</f>
        <v>0.19658871300458167</v>
      </c>
      <c r="J11" s="394">
        <f>IF(ISNUMBER((Tasas!D11-Datos!BF11)/Datos!BF11),(Tasas!D11-Datos!BF11)/Datos!BF11," - ")</f>
        <v>-0.48353580562659848</v>
      </c>
      <c r="K11" s="396">
        <f>IF(ISNUMBER((Tasas!E11-Datos!BG11)/Datos!BG11),(Tasas!E11-Datos!BG11)/Datos!BG11," - ")</f>
        <v>8.965636759754407E-2</v>
      </c>
      <c r="M11" t="e">
        <f>IF(Monitorios="SI",Datos!CE11,0)</f>
        <v>#REF!</v>
      </c>
      <c r="N11" t="e">
        <f>IF(Monitorios="SI",Datos!CF11,0)</f>
        <v>#REF!</v>
      </c>
      <c r="O11" t="e">
        <f>IF(Monitorios="SI",Datos!CG11,0)</f>
        <v>#REF!</v>
      </c>
      <c r="P11" t="e">
        <f>IF(Monitorios="SI",Datos!CH11,0)</f>
        <v>#REF!</v>
      </c>
      <c r="Q11">
        <f>IF(J_V="SI",0,Datos!AG11)</f>
        <v>165</v>
      </c>
      <c r="R11">
        <f>IF(J_V="SI",0,Datos!AH11)</f>
        <v>251</v>
      </c>
      <c r="S11">
        <f>IF(J_V="SI",0,Datos!AI11)</f>
        <v>247</v>
      </c>
      <c r="T11">
        <f>IF(J_V="SI",0,Datos!AJ11)</f>
        <v>169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0.23869610935856991</v>
      </c>
      <c r="I14" s="402">
        <f>IF(ISNUMBER((Tasas!C14-Datos!BE14)/Datos!BE14),(Tasas!C14-Datos!BE14)/Datos!BE14," - ")</f>
        <v>-2.2594002670829297E-2</v>
      </c>
      <c r="J14" s="400">
        <f>IF(ISNUMBER((Tasas!D14-Datos!BF14)/Datos!BF14),(Tasas!D14-Datos!BF14)/Datos!BF14," - ")</f>
        <v>-0.34371705914259099</v>
      </c>
      <c r="K14" s="403">
        <f>IF(ISNUMBER((Tasas!E14-Datos!BG14)/Datos!BG14),(Tasas!E14-Datos!BG14)/Datos!BG14," - ")</f>
        <v>-4.224480096930195E-2</v>
      </c>
      <c r="M14" t="e">
        <f>IF(Monitorios="SI",Datos!CE14,0)</f>
        <v>#REF!</v>
      </c>
      <c r="N14" t="e">
        <f>IF(Monitorios="SI",Datos!CF14,0)</f>
        <v>#REF!</v>
      </c>
      <c r="O14" t="e">
        <f>IF(Monitorios="SI",Datos!CG14,0)</f>
        <v>#REF!</v>
      </c>
      <c r="P14" t="e">
        <f>IF(Monitorios="SI",Datos!CH14,0)</f>
        <v>#REF!</v>
      </c>
      <c r="Q14">
        <f>IF(J_V="SI",0,Datos!AG14)</f>
        <v>274</v>
      </c>
      <c r="R14">
        <f>IF(J_V="SI",0,Datos!AH14)</f>
        <v>390</v>
      </c>
      <c r="S14">
        <f>IF(J_V="SI",0,Datos!AI14)</f>
        <v>375</v>
      </c>
      <c r="T14">
        <f>IF(J_V="SI",0,Datos!AJ14)</f>
        <v>289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0.52762598664238014</v>
      </c>
      <c r="E16" s="393">
        <f>IF(ISNUMBER(
   IF(D_I="SI",(Datos!J16-Datos!T16)/Datos!T16,(Datos!J16+Datos!AD16-(Datos!T16+Datos!AL16))/(Datos!T16+Datos!AL16))
     ),IF(D_I="SI",(Datos!J16-Datos!T16)/Datos!T16,(Datos!J16+Datos!AD16-(Datos!T16+Datos!AL16))/(Datos!T16+Datos!AL16))," - ")</f>
        <v>7.8588078588078591E-2</v>
      </c>
      <c r="F16" s="393">
        <f>IF(ISNUMBER(
   IF(D_I="SI",(Datos!K16-Datos!U16)/Datos!U16,(Datos!K16+Datos!AE16-(Datos!U16+Datos!AM16))/(Datos!U16+Datos!AM16))
     ),IF(D_I="SI",(Datos!K16-Datos!U16)/Datos!U16,(Datos!K16+Datos!AE16-(Datos!U16+Datos!AM16))/(Datos!U16+Datos!AM16))," - ")</f>
        <v>7.6553381393752146E-2</v>
      </c>
      <c r="G16" s="394">
        <f>IF(ISNUMBER(
   IF(D_I="SI",(Datos!L16-Datos!V16)/Datos!V16,(Datos!L16+Datos!AF16-(Datos!V16+Datos!AN16))/(Datos!V16+Datos!AN16))
     ),IF(D_I="SI",(Datos!L16-Datos!V16)/Datos!V16,(Datos!L16+Datos!AF16-(Datos!V16+Datos!AN16))/(Datos!V16+Datos!AN16))," - ")</f>
        <v>0.56331360946745557</v>
      </c>
      <c r="H16" s="244">
        <f>IF(ISNUMBER((Datos!M16-Datos!W16)/Datos!W16),(Datos!M16-Datos!W16)/Datos!W16," - ")</f>
        <v>0.25598086124401914</v>
      </c>
      <c r="I16" s="395">
        <f>IF(ISNUMBER((Tasas!C16-Datos!BE16)/Datos!BE16),(Tasas!C16-Datos!BE16)/Datos!BE16," - ")</f>
        <v>0.45214685726361531</v>
      </c>
      <c r="J16" s="394">
        <f>IF(ISNUMBER((Tasas!D16-Datos!BF16)/Datos!BF16),(Tasas!D16-Datos!BF16)/Datos!BF16," - ")</f>
        <v>0.16666844668489394</v>
      </c>
      <c r="K16" s="396">
        <f>IF(ISNUMBER((Tasas!E16-Datos!BG16)/Datos!BG16),(Tasas!E16-Datos!BG16)/Datos!BG16," - ")</f>
        <v>0.14962660467412767</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-5.6451612903225805E-2</v>
      </c>
      <c r="E18" s="393">
        <f>IF(ISNUMBER(
   IF(D_I="SI",(Datos!J18-Datos!T18)/Datos!T18,(Datos!J18+Datos!AD18-(Datos!T18+Datos!AL18))/(Datos!T18+Datos!AL18))
     ),IF(D_I="SI",(Datos!J18-Datos!T18)/Datos!T18,(Datos!J18+Datos!AD18-(Datos!T18+Datos!AL18))/(Datos!T18+Datos!AL18))," - ")</f>
        <v>0.11885245901639344</v>
      </c>
      <c r="F18" s="393">
        <f>IF(ISNUMBER(
   IF(D_I="SI",(Datos!K18-Datos!U18)/Datos!U18,(Datos!K18+Datos!AE18-(Datos!U18+Datos!AM18))/(Datos!U18+Datos!AM18))
     ),IF(D_I="SI",(Datos!K18-Datos!U18)/Datos!U18,(Datos!K18+Datos!AE18-(Datos!U18+Datos!AM18))/(Datos!U18+Datos!AM18))," - ")</f>
        <v>5.5944055944055944E-2</v>
      </c>
      <c r="G18" s="394">
        <f>IF(ISNUMBER(
   IF(D_I="SI",(Datos!L18-Datos!V18)/Datos!V18,(Datos!L18+Datos!AF18-(Datos!V18+Datos!AN18))/(Datos!V18+Datos!AN18))
     ),IF(D_I="SI",(Datos!L18-Datos!V18)/Datos!V18,(Datos!L18+Datos!AF18-(Datos!V18+Datos!AN18))/(Datos!V18+Datos!AN18))," - ")</f>
        <v>7.3170731707317069E-2</v>
      </c>
      <c r="H18" s="244">
        <f>IF(ISNUMBER((Datos!M18-Datos!W18)/Datos!W18),(Datos!M18-Datos!W18)/Datos!W18," - ")</f>
        <v>-0.44444444444444442</v>
      </c>
      <c r="I18" s="395">
        <f>IF(ISNUMBER((Tasas!C18-Datos!BE18)/Datos!BE18),(Tasas!C18-Datos!BE18)/Datos!BE18," - ")</f>
        <v>1.6314004199644589E-2</v>
      </c>
      <c r="J18" s="394">
        <f>IF(ISNUMBER((Tasas!D18-Datos!BF18)/Datos!BF18),(Tasas!D18-Datos!BF18)/Datos!BF18," - ")</f>
        <v>-0.47387785136129507</v>
      </c>
      <c r="K18" s="396">
        <f>IF(ISNUMBER((Tasas!E18-Datos!BG18)/Datos!BG18),(Tasas!E18-Datos!BG18)/Datos!BG18," - ")</f>
        <v>3.6351857183990659E-3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0.48618161308516639</v>
      </c>
      <c r="E23" s="399">
        <f>IF(ISNUMBER(
   IF(D_I="SI",(Datos!J23-Datos!T23)/Datos!T23,(Datos!J23+Datos!AD23-(Datos!T23+Datos!AL23))/(Datos!T23+Datos!AL23))
     ),IF(D_I="SI",(Datos!J23-Datos!T23)/Datos!T23,(Datos!J23+Datos!AD23-(Datos!T23+Datos!AL23))/(Datos!T23+Datos!AL23))," - ")</f>
        <v>8.1613797351401299E-2</v>
      </c>
      <c r="F23" s="399">
        <f>IF(ISNUMBER(
   IF(D_I="SI",(Datos!K23-Datos!U23)/Datos!U23,(Datos!K23+Datos!AE23-(Datos!U23+Datos!AM23))/(Datos!U23+Datos!AM23))
     ),IF(D_I="SI",(Datos!K23-Datos!U23)/Datos!U23,(Datos!K23+Datos!AE23-(Datos!U23+Datos!AM23))/(Datos!U23+Datos!AM23))," - ")</f>
        <v>7.4710847139731168E-2</v>
      </c>
      <c r="G23" s="400">
        <f>IF(ISNUMBER(
   IF(D_I="SI",(Datos!L23-Datos!V23)/Datos!V23,(Datos!L23+Datos!AF23-(Datos!V23+Datos!AN23))/(Datos!V23+Datos!AN23))
     ),IF(D_I="SI",(Datos!L23-Datos!V23)/Datos!V23,(Datos!L23+Datos!AF23-(Datos!V23+Datos!AN23))/(Datos!V23+Datos!AN23))," - ")</f>
        <v>0.54002254791431792</v>
      </c>
      <c r="H23" s="401">
        <f>IF(ISNUMBER((Datos!M23-Datos!W23)/Datos!W23),(Datos!M23-Datos!W23)/Datos!W23," - ")</f>
        <v>0.24121779859484777</v>
      </c>
      <c r="I23" s="402">
        <f>IF(ISNUMBER((Tasas!C23-Datos!BE23)/Datos!BE23),(Tasas!C23-Datos!BE23)/Datos!BE23," - ")</f>
        <v>0.43296455229142028</v>
      </c>
      <c r="J23" s="400">
        <f>IF(ISNUMBER((Tasas!D23-Datos!BF23)/Datos!BF23),(Tasas!D23-Datos!BF23)/Datos!BF23," - ")</f>
        <v>0.15493186087984809</v>
      </c>
      <c r="K23" s="403">
        <f>IF(ISNUMBER((Tasas!E23-Datos!BG23)/Datos!BG23),(Tasas!E23-Datos!BG23)/Datos!BG23," - ")</f>
        <v>0.13937808973529958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0.25264200792602376</v>
      </c>
      <c r="E31" s="409">
        <f>IF(ISNUMBER(
   IF(J_V="SI",(Datos!J31-Datos!T31)/Datos!T31,(Datos!J31+Datos!Z31-(Datos!T31+Datos!AH31))/(Datos!T31+Datos!AH31))
     ),IF(J_V="SI",(Datos!J31-Datos!T31)/Datos!T31,(Datos!J31+Datos!Z31-(Datos!T31+Datos!AH31))/(Datos!T31+Datos!AH31))," - ")</f>
        <v>3.8518738845925042E-2</v>
      </c>
      <c r="F31" s="409">
        <f>IF(ISNUMBER(
   IF(J_V="SI",(Datos!K31-Datos!U31)/Datos!U31,(Datos!K31+Datos!AA31-(Datos!U31+Datos!AI31))/(Datos!U31+Datos!AI31))
     ),IF(J_V="SI",(Datos!K31-Datos!U31)/Datos!U31,(Datos!K31+Datos!AA31-(Datos!U31+Datos!AI31))/(Datos!U31+Datos!AI31))," - ")</f>
        <v>0.1051922789166542</v>
      </c>
      <c r="G31" s="410">
        <f>IF(ISNUMBER(
   IF(J_V="SI",(Datos!L31-Datos!V31)/Datos!V31,(Datos!L31+Datos!AB31-(Datos!V31+Datos!AJ31))/(Datos!V31+Datos!AJ31))
     ),IF(J_V="SI",(Datos!L31-Datos!V31)/Datos!V31,(Datos!L31+Datos!AB31-(Datos!V31+Datos!AJ31))/(Datos!V31+Datos!AJ31))," - ")</f>
        <v>0.2343801652892562</v>
      </c>
      <c r="H31" s="411">
        <f>IF(ISNUMBER((Datos!M31-Datos!W31)/Datos!W31),(Datos!M31-Datos!W31)/Datos!W31," - ")</f>
        <v>0.23947750362844702</v>
      </c>
      <c r="I31" s="408">
        <f>IF(ISNUMBER((Tasas!C31-Datos!BE31)/Datos!BE31),(Tasas!C31-Datos!BE31)/Datos!BE31," - ")</f>
        <v>0.11689177425238281</v>
      </c>
      <c r="J31" s="409">
        <f>IF(ISNUMBER((Tasas!D31-Datos!BF31)/Datos!BF31),(Tasas!D31-Datos!BF31)/Datos!BF31," - ")</f>
        <v>-0.23151047252566878</v>
      </c>
      <c r="K31" s="410">
        <f>IF(ISNUMBER((Tasas!E31-Datos!BG31)/Datos!BG31),(Tasas!E31-Datos!BG31)/Datos!BG31," - ")</f>
        <v>3.1480559803748372E-2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0.3904001543133469</v>
      </c>
      <c r="E33" s="303">
        <f t="shared" si="1"/>
        <v>0.19348960750394981</v>
      </c>
      <c r="F33" s="303">
        <f t="shared" si="1"/>
        <v>0.21894333448544306</v>
      </c>
      <c r="G33" s="304">
        <f t="shared" si="1"/>
        <v>0.26332196174512734</v>
      </c>
      <c r="H33" s="310">
        <f t="shared" si="1"/>
        <v>0.36657551895082785</v>
      </c>
      <c r="I33" s="302">
        <f t="shared" si="1"/>
        <v>0.3438855935629016</v>
      </c>
      <c r="J33" s="303">
        <f t="shared" si="1"/>
        <v>0.27676333605344727</v>
      </c>
      <c r="K33" s="304">
        <f t="shared" si="1"/>
        <v>0.13573393048030627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tJvXpctmHGd62ohCwEC2EiakWGBg1B53oxcWIC8MPbw0M6BtXMD+VF6jsU/CTmwodjgm13UiMClRUVZSZI/SQ==" saltValue="D/+aJnZIqVaeRGO/UecDj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